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df46be87f3625f16/Desktop/"/>
    </mc:Choice>
  </mc:AlternateContent>
  <xr:revisionPtr revIDLastSave="0" documentId="8_{57D3D99C-EBBD-4D3C-9B27-70DAB0BA2A35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Doors order" sheetId="1" r:id="rId1"/>
    <sheet name="Cava Doors order" sheetId="12" r:id="rId2"/>
    <sheet name="Panel order" sheetId="10" r:id="rId3"/>
    <sheet name="Edge order" sheetId="9" r:id="rId4"/>
    <sheet name="Production" sheetId="6" state="hidden" r:id="rId5"/>
    <sheet name="BDD" sheetId="5" state="hidden" r:id="rId6"/>
    <sheet name="MainOther" sheetId="14" state="hidden" r:id="rId7"/>
    <sheet name="OPTIMOS CAVA CENTER PANEL" sheetId="16" state="hidden" r:id="rId8"/>
    <sheet name="Optimization" sheetId="7" state="hidden" r:id="rId9"/>
  </sheets>
  <definedNames>
    <definedName name="_xlnm._FilterDatabase" localSheetId="5" hidden="1">BDD!$A$2:$GS$291</definedName>
    <definedName name="AX">#REF!</definedName>
    <definedName name="_xlnm.Print_Area" localSheetId="5">BDD!$Y$37:$AD$116</definedName>
    <definedName name="_xlnm.Print_Area" localSheetId="1">'Cava Doors order'!$A$1:$N$45</definedName>
    <definedName name="_xlnm.Print_Area" localSheetId="0">'Doors order'!$A$1:$N$45</definedName>
    <definedName name="_xlnm.Print_Area" localSheetId="3">'Edge order'!$B$1:$N$46</definedName>
    <definedName name="_xlnm.Print_Area" localSheetId="7">'OPTIMOS CAVA CENTER PANEL'!$A$1:$G$62</definedName>
    <definedName name="_xlnm.Print_Area" localSheetId="2">'Panel order'!$A$1:$M$46</definedName>
    <definedName name="_xlnm.Print_Area" localSheetId="4">Production!$A$1:$K$43,Production!$M$1:$W$43,Production!$Y$1:$AL$43</definedName>
    <definedName name="_xlnm.Print_Titles" localSheetId="1">'Cava Doors order'!$1:$7</definedName>
    <definedName name="_xlnm.Print_Titles" localSheetId="0">'Doors order'!$1:$7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0" l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10" i="10"/>
  <c r="J3" i="5" l="1"/>
  <c r="J4" i="5"/>
  <c r="J5" i="5"/>
  <c r="K5" i="5"/>
  <c r="J6" i="5"/>
  <c r="K6" i="5"/>
  <c r="J7" i="5"/>
  <c r="K7" i="5"/>
  <c r="J39" i="12"/>
  <c r="I39" i="12"/>
  <c r="H39" i="12"/>
  <c r="J38" i="12"/>
  <c r="I38" i="12"/>
  <c r="H38" i="12"/>
  <c r="J37" i="12"/>
  <c r="I37" i="12"/>
  <c r="H37" i="12"/>
  <c r="J36" i="12"/>
  <c r="I36" i="12"/>
  <c r="H36" i="12"/>
  <c r="J35" i="12"/>
  <c r="I35" i="12"/>
  <c r="H35" i="12"/>
  <c r="J34" i="12"/>
  <c r="I34" i="12"/>
  <c r="H34" i="12"/>
  <c r="J33" i="12"/>
  <c r="I33" i="12"/>
  <c r="H33" i="12"/>
  <c r="J32" i="12"/>
  <c r="I32" i="12"/>
  <c r="H32" i="12"/>
  <c r="J31" i="12"/>
  <c r="I31" i="12"/>
  <c r="H31" i="12"/>
  <c r="J30" i="12"/>
  <c r="I30" i="12"/>
  <c r="H30" i="12"/>
  <c r="J29" i="12"/>
  <c r="I29" i="12"/>
  <c r="H29" i="12"/>
  <c r="J28" i="12"/>
  <c r="I28" i="12"/>
  <c r="H28" i="12"/>
  <c r="J27" i="12"/>
  <c r="I27" i="12"/>
  <c r="H27" i="12"/>
  <c r="J26" i="12"/>
  <c r="I26" i="12"/>
  <c r="H26" i="12"/>
  <c r="J25" i="12"/>
  <c r="I25" i="12"/>
  <c r="H25" i="12"/>
  <c r="J24" i="12"/>
  <c r="I24" i="12"/>
  <c r="H24" i="12"/>
  <c r="J23" i="12"/>
  <c r="I23" i="12"/>
  <c r="H23" i="12"/>
  <c r="J22" i="12"/>
  <c r="I22" i="12"/>
  <c r="H22" i="12"/>
  <c r="J21" i="12"/>
  <c r="I21" i="12"/>
  <c r="H21" i="12"/>
  <c r="J20" i="12"/>
  <c r="I20" i="12"/>
  <c r="H20" i="12"/>
  <c r="J19" i="12"/>
  <c r="I19" i="12"/>
  <c r="H19" i="12"/>
  <c r="J18" i="12"/>
  <c r="I18" i="12"/>
  <c r="H18" i="12"/>
  <c r="J17" i="12"/>
  <c r="I17" i="12"/>
  <c r="H17" i="12"/>
  <c r="J16" i="12"/>
  <c r="I16" i="12"/>
  <c r="H16" i="12"/>
  <c r="J15" i="12"/>
  <c r="I15" i="12"/>
  <c r="H15" i="12"/>
  <c r="J14" i="12"/>
  <c r="I14" i="12"/>
  <c r="H14" i="12"/>
  <c r="J13" i="12"/>
  <c r="I13" i="12"/>
  <c r="H13" i="12"/>
  <c r="H11" i="12"/>
  <c r="I11" i="12"/>
  <c r="J11" i="12"/>
  <c r="H12" i="12"/>
  <c r="I12" i="12"/>
  <c r="J12" i="12"/>
  <c r="F20" i="5" l="1"/>
  <c r="J20" i="5"/>
  <c r="K101" i="5" l="1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4" i="5"/>
  <c r="K73" i="5"/>
  <c r="K72" i="5"/>
  <c r="K71" i="5"/>
  <c r="K70" i="5"/>
  <c r="K69" i="5"/>
  <c r="K68" i="5"/>
  <c r="K67" i="5"/>
  <c r="K66" i="5"/>
  <c r="K61" i="5"/>
  <c r="K60" i="5"/>
  <c r="K59" i="5"/>
  <c r="J59" i="5"/>
  <c r="K52" i="5"/>
  <c r="K51" i="5"/>
  <c r="J24" i="5"/>
  <c r="J9" i="5"/>
  <c r="Q44" i="5"/>
  <c r="P44" i="5"/>
  <c r="O44" i="5"/>
  <c r="N44" i="5"/>
  <c r="M44" i="5"/>
  <c r="Q43" i="5"/>
  <c r="P43" i="5"/>
  <c r="O43" i="5"/>
  <c r="N43" i="5"/>
  <c r="M43" i="5"/>
  <c r="M41" i="5"/>
  <c r="Q41" i="5"/>
  <c r="P41" i="5"/>
  <c r="O41" i="5"/>
  <c r="N41" i="5"/>
  <c r="Q40" i="5"/>
  <c r="P40" i="5"/>
  <c r="O40" i="5"/>
  <c r="N40" i="5"/>
  <c r="M40" i="5"/>
  <c r="Q71" i="5"/>
  <c r="P71" i="5"/>
  <c r="O71" i="5"/>
  <c r="N71" i="5"/>
  <c r="M71" i="5"/>
  <c r="Q70" i="5"/>
  <c r="P70" i="5"/>
  <c r="O70" i="5"/>
  <c r="N70" i="5"/>
  <c r="M70" i="5"/>
  <c r="Q69" i="5"/>
  <c r="P69" i="5"/>
  <c r="O69" i="5"/>
  <c r="N69" i="5"/>
  <c r="M69" i="5"/>
  <c r="Q68" i="5"/>
  <c r="P68" i="5"/>
  <c r="O68" i="5"/>
  <c r="N68" i="5"/>
  <c r="M68" i="5"/>
  <c r="Q67" i="5"/>
  <c r="P67" i="5"/>
  <c r="O67" i="5"/>
  <c r="N67" i="5"/>
  <c r="M67" i="5"/>
  <c r="Q66" i="5"/>
  <c r="P66" i="5"/>
  <c r="O66" i="5"/>
  <c r="N66" i="5"/>
  <c r="M66" i="5"/>
  <c r="Q65" i="5"/>
  <c r="P65" i="5"/>
  <c r="O65" i="5"/>
  <c r="N65" i="5"/>
  <c r="M65" i="5"/>
  <c r="Q64" i="5"/>
  <c r="P64" i="5"/>
  <c r="O64" i="5"/>
  <c r="N64" i="5"/>
  <c r="M64" i="5"/>
  <c r="Q63" i="5"/>
  <c r="P63" i="5"/>
  <c r="O63" i="5"/>
  <c r="N63" i="5"/>
  <c r="M63" i="5"/>
  <c r="Q62" i="5"/>
  <c r="P62" i="5"/>
  <c r="O62" i="5"/>
  <c r="N62" i="5"/>
  <c r="M62" i="5"/>
  <c r="Q61" i="5"/>
  <c r="P61" i="5"/>
  <c r="O61" i="5"/>
  <c r="N61" i="5"/>
  <c r="M61" i="5"/>
  <c r="Q60" i="5"/>
  <c r="P60" i="5"/>
  <c r="O60" i="5"/>
  <c r="N60" i="5"/>
  <c r="M60" i="5"/>
  <c r="Q59" i="5"/>
  <c r="P59" i="5"/>
  <c r="O59" i="5"/>
  <c r="N59" i="5"/>
  <c r="M59" i="5"/>
  <c r="Q80" i="5"/>
  <c r="P80" i="5"/>
  <c r="O80" i="5"/>
  <c r="N80" i="5"/>
  <c r="M80" i="5"/>
  <c r="Q79" i="5"/>
  <c r="P79" i="5"/>
  <c r="O79" i="5"/>
  <c r="N79" i="5"/>
  <c r="M79" i="5"/>
  <c r="Q78" i="5"/>
  <c r="P78" i="5"/>
  <c r="O78" i="5"/>
  <c r="N78" i="5"/>
  <c r="M78" i="5"/>
  <c r="M89" i="5"/>
  <c r="M88" i="5"/>
  <c r="M87" i="5"/>
  <c r="M86" i="5"/>
  <c r="M85" i="5"/>
  <c r="M84" i="5"/>
  <c r="Q89" i="5"/>
  <c r="P89" i="5"/>
  <c r="O89" i="5"/>
  <c r="N89" i="5"/>
  <c r="Q88" i="5"/>
  <c r="P88" i="5"/>
  <c r="O88" i="5"/>
  <c r="N88" i="5"/>
  <c r="Q87" i="5"/>
  <c r="P87" i="5"/>
  <c r="O87" i="5"/>
  <c r="N87" i="5"/>
  <c r="Q86" i="5"/>
  <c r="P86" i="5"/>
  <c r="O86" i="5"/>
  <c r="N86" i="5"/>
  <c r="Q85" i="5"/>
  <c r="P85" i="5"/>
  <c r="O85" i="5"/>
  <c r="N85" i="5"/>
  <c r="Q84" i="5"/>
  <c r="P84" i="5"/>
  <c r="O84" i="5"/>
  <c r="N84" i="5"/>
  <c r="Q83" i="5"/>
  <c r="P83" i="5"/>
  <c r="O83" i="5"/>
  <c r="N83" i="5"/>
  <c r="M83" i="5"/>
  <c r="L98" i="5"/>
  <c r="L67" i="5"/>
  <c r="L65" i="5"/>
  <c r="L62" i="5"/>
  <c r="L44" i="5"/>
  <c r="L40" i="5"/>
  <c r="L17" i="5"/>
  <c r="L15" i="5"/>
  <c r="L8" i="5"/>
  <c r="J101" i="5"/>
  <c r="J100" i="5"/>
  <c r="J99" i="5"/>
  <c r="J98" i="5"/>
  <c r="J97" i="5"/>
  <c r="J96" i="5"/>
  <c r="J95" i="5"/>
  <c r="J94" i="5"/>
  <c r="J93" i="5"/>
  <c r="J92" i="5"/>
  <c r="J91" i="5"/>
  <c r="J90" i="5"/>
  <c r="F101" i="5"/>
  <c r="F100" i="5"/>
  <c r="F99" i="5"/>
  <c r="F98" i="5"/>
  <c r="F97" i="5"/>
  <c r="F96" i="5"/>
  <c r="F95" i="5"/>
  <c r="F94" i="5"/>
  <c r="F93" i="5"/>
  <c r="F92" i="5"/>
  <c r="F91" i="5"/>
  <c r="F90" i="5"/>
  <c r="J49" i="5"/>
  <c r="J48" i="5"/>
  <c r="J39" i="5"/>
  <c r="F39" i="5"/>
  <c r="E39" i="5"/>
  <c r="D39" i="5"/>
  <c r="J47" i="5" l="1"/>
  <c r="J46" i="5"/>
  <c r="J45" i="5"/>
  <c r="J44" i="5"/>
  <c r="F47" i="5"/>
  <c r="F46" i="5"/>
  <c r="F45" i="5"/>
  <c r="F43" i="5"/>
  <c r="J31" i="5"/>
  <c r="J30" i="5"/>
  <c r="J29" i="5"/>
  <c r="J28" i="5"/>
  <c r="F29" i="5"/>
  <c r="F31" i="5"/>
  <c r="F30" i="5"/>
  <c r="F28" i="5"/>
  <c r="L39" i="12" l="1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C81" i="5"/>
  <c r="D81" i="5"/>
  <c r="E81" i="5"/>
  <c r="F81" i="5"/>
  <c r="G81" i="5"/>
  <c r="J81" i="5"/>
  <c r="C71" i="5"/>
  <c r="D71" i="5"/>
  <c r="E71" i="5"/>
  <c r="F71" i="5"/>
  <c r="G71" i="5"/>
  <c r="J71" i="5"/>
  <c r="F58" i="5"/>
  <c r="F57" i="5"/>
  <c r="F56" i="5"/>
  <c r="F55" i="5"/>
  <c r="F54" i="5"/>
  <c r="F53" i="5"/>
  <c r="F52" i="5"/>
  <c r="F51" i="5"/>
  <c r="F50" i="5"/>
  <c r="F38" i="5"/>
  <c r="F37" i="5"/>
  <c r="F36" i="5"/>
  <c r="F35" i="5"/>
  <c r="F34" i="5"/>
  <c r="F33" i="5"/>
  <c r="F32" i="5"/>
  <c r="F27" i="5"/>
  <c r="F26" i="5"/>
  <c r="F25" i="5"/>
  <c r="F23" i="5"/>
  <c r="F22" i="5"/>
  <c r="F21" i="5"/>
  <c r="F18" i="5"/>
  <c r="F17" i="5"/>
  <c r="F15" i="5"/>
  <c r="F14" i="5"/>
  <c r="F13" i="5"/>
  <c r="F12" i="5"/>
  <c r="F11" i="5"/>
  <c r="L12" i="1"/>
  <c r="D52" i="5" l="1"/>
  <c r="D51" i="5"/>
  <c r="E52" i="5"/>
  <c r="E51" i="5"/>
  <c r="J52" i="5"/>
  <c r="J51" i="5"/>
  <c r="E36" i="5"/>
  <c r="E35" i="5"/>
  <c r="J36" i="5"/>
  <c r="D36" i="5"/>
  <c r="J35" i="5"/>
  <c r="D35" i="5"/>
  <c r="E9" i="5" l="1"/>
  <c r="D9" i="5"/>
  <c r="J42" i="5"/>
  <c r="F42" i="5"/>
  <c r="D42" i="5"/>
  <c r="C42" i="5"/>
  <c r="C41" i="5"/>
  <c r="E42" i="5"/>
  <c r="F9" i="5"/>
  <c r="T61" i="14"/>
  <c r="O61" i="14"/>
  <c r="N61" i="14"/>
  <c r="P60" i="14"/>
  <c r="O60" i="14"/>
  <c r="R60" i="14"/>
  <c r="T59" i="14"/>
  <c r="S59" i="14"/>
  <c r="N59" i="14"/>
  <c r="P58" i="14"/>
  <c r="O58" i="14"/>
  <c r="N58" i="14"/>
  <c r="P57" i="14"/>
  <c r="S57" i="14"/>
  <c r="R57" i="14"/>
  <c r="T56" i="14"/>
  <c r="S56" i="14"/>
  <c r="R56" i="14"/>
  <c r="P55" i="14"/>
  <c r="O55" i="14"/>
  <c r="N55" i="14"/>
  <c r="T54" i="14"/>
  <c r="S54" i="14"/>
  <c r="R54" i="14"/>
  <c r="T53" i="14"/>
  <c r="S53" i="14"/>
  <c r="N53" i="14"/>
  <c r="P52" i="14"/>
  <c r="O52" i="14"/>
  <c r="N52" i="14"/>
  <c r="T51" i="14"/>
  <c r="O51" i="14"/>
  <c r="R51" i="14"/>
  <c r="P50" i="14"/>
  <c r="O50" i="14"/>
  <c r="N50" i="14"/>
  <c r="P49" i="14"/>
  <c r="S49" i="14"/>
  <c r="R49" i="14"/>
  <c r="T48" i="14"/>
  <c r="S48" i="14"/>
  <c r="N48" i="14"/>
  <c r="P47" i="14"/>
  <c r="S47" i="14"/>
  <c r="N47" i="14"/>
  <c r="T46" i="14"/>
  <c r="S46" i="14"/>
  <c r="R46" i="14"/>
  <c r="T45" i="14"/>
  <c r="S45" i="14"/>
  <c r="N45" i="14"/>
  <c r="P44" i="14"/>
  <c r="O44" i="14"/>
  <c r="R44" i="14"/>
  <c r="P43" i="14"/>
  <c r="S43" i="14"/>
  <c r="R43" i="14"/>
  <c r="P42" i="14"/>
  <c r="O42" i="14"/>
  <c r="N42" i="14"/>
  <c r="P41" i="14"/>
  <c r="S41" i="14"/>
  <c r="R41" i="14"/>
  <c r="T40" i="14"/>
  <c r="S40" i="14"/>
  <c r="N40" i="14"/>
  <c r="P39" i="14"/>
  <c r="O39" i="14"/>
  <c r="N39" i="14"/>
  <c r="T38" i="14"/>
  <c r="S38" i="14"/>
  <c r="N38" i="14"/>
  <c r="T37" i="14"/>
  <c r="O37" i="14"/>
  <c r="N37" i="14"/>
  <c r="P36" i="14"/>
  <c r="O36" i="14"/>
  <c r="R36" i="14"/>
  <c r="T35" i="14"/>
  <c r="O35" i="14"/>
  <c r="R35" i="14"/>
  <c r="P34" i="14"/>
  <c r="O34" i="14"/>
  <c r="R34" i="14"/>
  <c r="Q46" i="14"/>
  <c r="Q47" i="14"/>
  <c r="M48" i="14"/>
  <c r="Q49" i="14"/>
  <c r="M50" i="14"/>
  <c r="M51" i="14"/>
  <c r="Q52" i="14"/>
  <c r="M53" i="14"/>
  <c r="Q54" i="14"/>
  <c r="Q55" i="14"/>
  <c r="M56" i="14"/>
  <c r="Q57" i="14"/>
  <c r="M58" i="14"/>
  <c r="M59" i="14"/>
  <c r="Q60" i="14"/>
  <c r="M61" i="14"/>
  <c r="Q34" i="14"/>
  <c r="M35" i="14"/>
  <c r="Q36" i="14"/>
  <c r="M37" i="14"/>
  <c r="Q38" i="14"/>
  <c r="Q39" i="14"/>
  <c r="M40" i="14"/>
  <c r="Q41" i="14"/>
  <c r="M42" i="14"/>
  <c r="M43" i="14"/>
  <c r="Q44" i="14"/>
  <c r="M45" i="14"/>
  <c r="J78" i="5"/>
  <c r="J79" i="5"/>
  <c r="J80" i="5"/>
  <c r="J82" i="5"/>
  <c r="J83" i="5"/>
  <c r="J84" i="5"/>
  <c r="J85" i="5"/>
  <c r="J86" i="5"/>
  <c r="G89" i="5"/>
  <c r="F89" i="5"/>
  <c r="E89" i="5"/>
  <c r="D89" i="5"/>
  <c r="G88" i="5"/>
  <c r="F88" i="5"/>
  <c r="E88" i="5"/>
  <c r="D88" i="5"/>
  <c r="G87" i="5"/>
  <c r="F87" i="5"/>
  <c r="E87" i="5"/>
  <c r="D87" i="5"/>
  <c r="G86" i="5"/>
  <c r="F86" i="5"/>
  <c r="E86" i="5"/>
  <c r="D86" i="5"/>
  <c r="G85" i="5"/>
  <c r="F85" i="5"/>
  <c r="E85" i="5"/>
  <c r="D85" i="5"/>
  <c r="G84" i="5"/>
  <c r="F84" i="5"/>
  <c r="E84" i="5"/>
  <c r="D84" i="5"/>
  <c r="G83" i="5"/>
  <c r="F83" i="5"/>
  <c r="E83" i="5"/>
  <c r="D83" i="5"/>
  <c r="G82" i="5"/>
  <c r="F82" i="5"/>
  <c r="E82" i="5"/>
  <c r="D82" i="5"/>
  <c r="G80" i="5"/>
  <c r="F80" i="5"/>
  <c r="E80" i="5"/>
  <c r="D80" i="5"/>
  <c r="G79" i="5"/>
  <c r="F79" i="5"/>
  <c r="E79" i="5"/>
  <c r="D79" i="5"/>
  <c r="G78" i="5"/>
  <c r="F78" i="5"/>
  <c r="E78" i="5"/>
  <c r="D78" i="5"/>
  <c r="D77" i="5"/>
  <c r="D76" i="5"/>
  <c r="D75" i="5"/>
  <c r="D74" i="5"/>
  <c r="D73" i="5"/>
  <c r="D72" i="5"/>
  <c r="D70" i="5"/>
  <c r="D69" i="5"/>
  <c r="D68" i="5"/>
  <c r="D67" i="5"/>
  <c r="D66" i="5"/>
  <c r="C89" i="5"/>
  <c r="C88" i="5"/>
  <c r="C87" i="5"/>
  <c r="C86" i="5"/>
  <c r="C85" i="5"/>
  <c r="C84" i="5"/>
  <c r="C83" i="5"/>
  <c r="C82" i="5"/>
  <c r="C80" i="5"/>
  <c r="C79" i="5"/>
  <c r="C78" i="5"/>
  <c r="C63" i="5"/>
  <c r="G77" i="5"/>
  <c r="J38" i="5"/>
  <c r="J37" i="5"/>
  <c r="E38" i="5"/>
  <c r="E37" i="5"/>
  <c r="D38" i="5"/>
  <c r="D37" i="5"/>
  <c r="E34" i="5"/>
  <c r="D34" i="5"/>
  <c r="E32" i="5"/>
  <c r="E33" i="5"/>
  <c r="D33" i="5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10" i="12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0" i="1"/>
  <c r="AI21" i="5"/>
  <c r="J88" i="5"/>
  <c r="J87" i="5"/>
  <c r="J77" i="5"/>
  <c r="F77" i="5"/>
  <c r="E77" i="5"/>
  <c r="Z11" i="6"/>
  <c r="Z12" i="6"/>
  <c r="AF12" i="6" s="1"/>
  <c r="Z10" i="6"/>
  <c r="AA10" i="6"/>
  <c r="AI10" i="6" s="1"/>
  <c r="AA11" i="6"/>
  <c r="AI11" i="6" s="1"/>
  <c r="AA12" i="6"/>
  <c r="AI12" i="6" s="1"/>
  <c r="AA13" i="6"/>
  <c r="AI13" i="6" s="1"/>
  <c r="AA14" i="6"/>
  <c r="AI14" i="6" s="1"/>
  <c r="AA15" i="6"/>
  <c r="AA16" i="6"/>
  <c r="AI16" i="6" s="1"/>
  <c r="AA17" i="6"/>
  <c r="AI17" i="6" s="1"/>
  <c r="AA18" i="6"/>
  <c r="AI18" i="6" s="1"/>
  <c r="AA19" i="6"/>
  <c r="AA20" i="6"/>
  <c r="AI20" i="6" s="1"/>
  <c r="AA21" i="6"/>
  <c r="AI21" i="6" s="1"/>
  <c r="AA22" i="6"/>
  <c r="AI22" i="6" s="1"/>
  <c r="AA23" i="6"/>
  <c r="AA24" i="6"/>
  <c r="AI24" i="6" s="1"/>
  <c r="AA25" i="6"/>
  <c r="AI25" i="6" s="1"/>
  <c r="AA26" i="6"/>
  <c r="AI26" i="6" s="1"/>
  <c r="AA27" i="6"/>
  <c r="AA28" i="6"/>
  <c r="AI28" i="6" s="1"/>
  <c r="AA29" i="6"/>
  <c r="AI29" i="6" s="1"/>
  <c r="AA30" i="6"/>
  <c r="AI30" i="6" s="1"/>
  <c r="AA31" i="6"/>
  <c r="AA32" i="6"/>
  <c r="AI32" i="6" s="1"/>
  <c r="AA33" i="6"/>
  <c r="AI33" i="6" s="1"/>
  <c r="AA34" i="6"/>
  <c r="AI34" i="6" s="1"/>
  <c r="AA35" i="6"/>
  <c r="AA36" i="6"/>
  <c r="AI36" i="6" s="1"/>
  <c r="AA37" i="6"/>
  <c r="AI37" i="6" s="1"/>
  <c r="AA38" i="6"/>
  <c r="AI38" i="6" s="1"/>
  <c r="AA39" i="6"/>
  <c r="AB12" i="6"/>
  <c r="AD12" i="6"/>
  <c r="AB13" i="6"/>
  <c r="AJ13" i="6" s="1"/>
  <c r="AB14" i="6"/>
  <c r="AJ14" i="6" s="1"/>
  <c r="AB15" i="6"/>
  <c r="AJ15" i="6" s="1"/>
  <c r="AB16" i="6"/>
  <c r="AJ16" i="6" s="1"/>
  <c r="AB17" i="6"/>
  <c r="AJ17" i="6" s="1"/>
  <c r="AB18" i="6"/>
  <c r="AJ18" i="6" s="1"/>
  <c r="AB19" i="6"/>
  <c r="AJ19" i="6" s="1"/>
  <c r="AB20" i="6"/>
  <c r="AJ20" i="6" s="1"/>
  <c r="AB21" i="6"/>
  <c r="AJ21" i="6" s="1"/>
  <c r="AB22" i="6"/>
  <c r="AJ22" i="6" s="1"/>
  <c r="AB23" i="6"/>
  <c r="AJ23" i="6" s="1"/>
  <c r="AB24" i="6"/>
  <c r="AJ24" i="6" s="1"/>
  <c r="AB25" i="6"/>
  <c r="AJ25" i="6" s="1"/>
  <c r="AB26" i="6"/>
  <c r="AJ26" i="6" s="1"/>
  <c r="AB27" i="6"/>
  <c r="AJ27" i="6" s="1"/>
  <c r="AB28" i="6"/>
  <c r="AJ28" i="6" s="1"/>
  <c r="AB29" i="6"/>
  <c r="AJ29" i="6" s="1"/>
  <c r="AB30" i="6"/>
  <c r="AJ30" i="6" s="1"/>
  <c r="AB31" i="6"/>
  <c r="AJ31" i="6" s="1"/>
  <c r="AB32" i="6"/>
  <c r="AJ32" i="6" s="1"/>
  <c r="AB33" i="6"/>
  <c r="AJ33" i="6" s="1"/>
  <c r="AB34" i="6"/>
  <c r="AJ34" i="6" s="1"/>
  <c r="AB35" i="6"/>
  <c r="AJ35" i="6" s="1"/>
  <c r="AB36" i="6"/>
  <c r="AJ36" i="6" s="1"/>
  <c r="AB37" i="6"/>
  <c r="AJ37" i="6" s="1"/>
  <c r="AB38" i="6"/>
  <c r="AJ38" i="6" s="1"/>
  <c r="AB39" i="6"/>
  <c r="AJ39" i="6" s="1"/>
  <c r="AB10" i="6"/>
  <c r="AE10" i="6" s="1"/>
  <c r="AD10" i="6"/>
  <c r="AB11" i="6"/>
  <c r="AE11" i="6" s="1"/>
  <c r="AD11" i="6"/>
  <c r="E33" i="14"/>
  <c r="G3" i="16" s="1"/>
  <c r="F33" i="14"/>
  <c r="G33" i="14"/>
  <c r="H33" i="14"/>
  <c r="I33" i="14"/>
  <c r="J33" i="14"/>
  <c r="K33" i="14"/>
  <c r="L33" i="14"/>
  <c r="E34" i="14"/>
  <c r="F34" i="14"/>
  <c r="G34" i="14"/>
  <c r="H34" i="14"/>
  <c r="I34" i="14"/>
  <c r="J34" i="14"/>
  <c r="K34" i="14"/>
  <c r="L34" i="14"/>
  <c r="E35" i="14"/>
  <c r="F35" i="14"/>
  <c r="G35" i="14"/>
  <c r="H35" i="14"/>
  <c r="I35" i="14"/>
  <c r="J35" i="14"/>
  <c r="K35" i="14"/>
  <c r="L35" i="14"/>
  <c r="E36" i="14"/>
  <c r="G6" i="16" s="1"/>
  <c r="J6" i="16" s="1"/>
  <c r="F36" i="14"/>
  <c r="G36" i="14"/>
  <c r="H36" i="14"/>
  <c r="I36" i="14"/>
  <c r="J36" i="14"/>
  <c r="K36" i="14"/>
  <c r="L36" i="14"/>
  <c r="E37" i="14"/>
  <c r="G37" i="16" s="1"/>
  <c r="O37" i="16" s="1"/>
  <c r="F37" i="14"/>
  <c r="G37" i="14"/>
  <c r="H37" i="14"/>
  <c r="I37" i="14"/>
  <c r="J37" i="14"/>
  <c r="K37" i="14"/>
  <c r="L37" i="14"/>
  <c r="E38" i="14"/>
  <c r="G8" i="16" s="1"/>
  <c r="F38" i="14"/>
  <c r="G38" i="14"/>
  <c r="H38" i="14"/>
  <c r="I38" i="14"/>
  <c r="J38" i="14"/>
  <c r="K38" i="14"/>
  <c r="L38" i="14"/>
  <c r="E39" i="14"/>
  <c r="F39" i="14"/>
  <c r="G39" i="14"/>
  <c r="H39" i="14"/>
  <c r="I39" i="14"/>
  <c r="J39" i="14"/>
  <c r="K39" i="14"/>
  <c r="L39" i="14"/>
  <c r="E40" i="14"/>
  <c r="G40" i="16" s="1"/>
  <c r="L40" i="16" s="1"/>
  <c r="F40" i="14"/>
  <c r="G40" i="14"/>
  <c r="H40" i="14"/>
  <c r="I40" i="14"/>
  <c r="J40" i="14"/>
  <c r="K40" i="14"/>
  <c r="L40" i="14"/>
  <c r="E41" i="14"/>
  <c r="G11" i="16" s="1"/>
  <c r="O11" i="16" s="1"/>
  <c r="F41" i="14"/>
  <c r="G41" i="14"/>
  <c r="H41" i="14"/>
  <c r="I41" i="14"/>
  <c r="J41" i="14"/>
  <c r="K41" i="14"/>
  <c r="L41" i="14"/>
  <c r="E42" i="14"/>
  <c r="G12" i="16" s="1"/>
  <c r="F42" i="14"/>
  <c r="G42" i="14"/>
  <c r="H42" i="14"/>
  <c r="I42" i="14"/>
  <c r="J42" i="14"/>
  <c r="K42" i="14"/>
  <c r="L42" i="14"/>
  <c r="E43" i="14"/>
  <c r="G43" i="16" s="1"/>
  <c r="L43" i="16" s="1"/>
  <c r="F43" i="14"/>
  <c r="G43" i="14"/>
  <c r="H43" i="14"/>
  <c r="I43" i="14"/>
  <c r="J43" i="14"/>
  <c r="K43" i="14"/>
  <c r="L43" i="14"/>
  <c r="E44" i="14"/>
  <c r="G14" i="16" s="1"/>
  <c r="N14" i="16" s="1"/>
  <c r="F44" i="14"/>
  <c r="G44" i="14"/>
  <c r="H44" i="14"/>
  <c r="I44" i="14"/>
  <c r="J44" i="14"/>
  <c r="K44" i="14"/>
  <c r="L44" i="14"/>
  <c r="E45" i="14"/>
  <c r="F45" i="14"/>
  <c r="G45" i="14"/>
  <c r="H45" i="14"/>
  <c r="I45" i="14"/>
  <c r="J45" i="14"/>
  <c r="K45" i="14"/>
  <c r="L45" i="14"/>
  <c r="E46" i="14"/>
  <c r="G16" i="16" s="1"/>
  <c r="F46" i="14"/>
  <c r="G46" i="14"/>
  <c r="H46" i="14"/>
  <c r="I46" i="14"/>
  <c r="J46" i="14"/>
  <c r="K46" i="14"/>
  <c r="L46" i="14"/>
  <c r="E47" i="14"/>
  <c r="F47" i="14"/>
  <c r="G47" i="14"/>
  <c r="H47" i="14"/>
  <c r="I47" i="14"/>
  <c r="J47" i="14"/>
  <c r="K47" i="14"/>
  <c r="L47" i="14"/>
  <c r="E48" i="14"/>
  <c r="G48" i="16" s="1"/>
  <c r="J48" i="16" s="1"/>
  <c r="F48" i="14"/>
  <c r="G48" i="14"/>
  <c r="H48" i="14"/>
  <c r="I48" i="14"/>
  <c r="J48" i="14"/>
  <c r="K48" i="14"/>
  <c r="L48" i="14"/>
  <c r="E49" i="14"/>
  <c r="G19" i="16" s="1"/>
  <c r="L19" i="16" s="1"/>
  <c r="F49" i="14"/>
  <c r="G49" i="14"/>
  <c r="H49" i="14"/>
  <c r="I49" i="14"/>
  <c r="J49" i="14"/>
  <c r="K49" i="14"/>
  <c r="L49" i="14"/>
  <c r="E50" i="14"/>
  <c r="F50" i="14"/>
  <c r="G50" i="14"/>
  <c r="H50" i="14"/>
  <c r="I50" i="14"/>
  <c r="J50" i="14"/>
  <c r="K50" i="14"/>
  <c r="L50" i="14"/>
  <c r="E51" i="14"/>
  <c r="G51" i="16" s="1"/>
  <c r="L51" i="16" s="1"/>
  <c r="F51" i="14"/>
  <c r="G51" i="14"/>
  <c r="H51" i="14"/>
  <c r="I51" i="14"/>
  <c r="J51" i="14"/>
  <c r="K51" i="14"/>
  <c r="L51" i="14"/>
  <c r="E52" i="14"/>
  <c r="G22" i="16" s="1"/>
  <c r="O22" i="16" s="1"/>
  <c r="F52" i="14"/>
  <c r="G52" i="14"/>
  <c r="H52" i="14"/>
  <c r="I52" i="14"/>
  <c r="J52" i="14"/>
  <c r="K52" i="14"/>
  <c r="L52" i="14"/>
  <c r="E53" i="14"/>
  <c r="F53" i="14"/>
  <c r="G53" i="14"/>
  <c r="H53" i="14"/>
  <c r="I53" i="14"/>
  <c r="J53" i="14"/>
  <c r="K53" i="14"/>
  <c r="L53" i="14"/>
  <c r="E54" i="14"/>
  <c r="F54" i="14"/>
  <c r="G54" i="14"/>
  <c r="H54" i="14"/>
  <c r="I54" i="14"/>
  <c r="J54" i="14"/>
  <c r="K54" i="14"/>
  <c r="L54" i="14"/>
  <c r="E55" i="14"/>
  <c r="G25" i="16" s="1"/>
  <c r="F55" i="14"/>
  <c r="G55" i="14"/>
  <c r="H55" i="14"/>
  <c r="I55" i="14"/>
  <c r="J55" i="14"/>
  <c r="K55" i="14"/>
  <c r="L55" i="14"/>
  <c r="E56" i="14"/>
  <c r="F56" i="14"/>
  <c r="G56" i="14"/>
  <c r="H56" i="14"/>
  <c r="I56" i="14"/>
  <c r="J56" i="14"/>
  <c r="K56" i="14"/>
  <c r="L56" i="14"/>
  <c r="E57" i="14"/>
  <c r="F57" i="14"/>
  <c r="G57" i="14"/>
  <c r="H57" i="14"/>
  <c r="I57" i="14"/>
  <c r="J57" i="14"/>
  <c r="K57" i="14"/>
  <c r="L57" i="14"/>
  <c r="E58" i="14"/>
  <c r="F58" i="14"/>
  <c r="G58" i="14"/>
  <c r="H58" i="14"/>
  <c r="I58" i="14"/>
  <c r="J58" i="14"/>
  <c r="K58" i="14"/>
  <c r="L58" i="14"/>
  <c r="E59" i="14"/>
  <c r="F59" i="14"/>
  <c r="G59" i="14"/>
  <c r="H59" i="14"/>
  <c r="I59" i="14"/>
  <c r="J59" i="14"/>
  <c r="K59" i="14"/>
  <c r="L59" i="14"/>
  <c r="E60" i="14"/>
  <c r="F60" i="14"/>
  <c r="G60" i="14"/>
  <c r="H60" i="14"/>
  <c r="I60" i="14"/>
  <c r="J60" i="14"/>
  <c r="K60" i="14"/>
  <c r="L60" i="14"/>
  <c r="E61" i="14"/>
  <c r="F61" i="14"/>
  <c r="G61" i="14"/>
  <c r="H61" i="14"/>
  <c r="I61" i="14"/>
  <c r="J61" i="14"/>
  <c r="K61" i="14"/>
  <c r="L61" i="14"/>
  <c r="E3" i="14"/>
  <c r="D3" i="14" s="1"/>
  <c r="C3" i="14" s="1"/>
  <c r="B3" i="14" s="1"/>
  <c r="A3" i="14" s="1"/>
  <c r="F3" i="14"/>
  <c r="G3" i="14"/>
  <c r="H3" i="14"/>
  <c r="I3" i="14"/>
  <c r="J3" i="14"/>
  <c r="K3" i="14"/>
  <c r="L3" i="14"/>
  <c r="E4" i="14"/>
  <c r="D4" i="14" s="1"/>
  <c r="C4" i="14" s="1"/>
  <c r="B4" i="14" s="1"/>
  <c r="A4" i="14" s="1"/>
  <c r="F4" i="14"/>
  <c r="G4" i="14"/>
  <c r="H4" i="14"/>
  <c r="I4" i="14"/>
  <c r="J4" i="14"/>
  <c r="K4" i="14"/>
  <c r="L4" i="14"/>
  <c r="E5" i="14"/>
  <c r="D5" i="14" s="1"/>
  <c r="C5" i="14" s="1"/>
  <c r="B5" i="14" s="1"/>
  <c r="A5" i="14" s="1"/>
  <c r="F5" i="14"/>
  <c r="G5" i="14"/>
  <c r="H5" i="14"/>
  <c r="I5" i="14"/>
  <c r="J5" i="14"/>
  <c r="K5" i="14"/>
  <c r="L5" i="14"/>
  <c r="E6" i="14"/>
  <c r="D6" i="14" s="1"/>
  <c r="C6" i="14" s="1"/>
  <c r="B6" i="14" s="1"/>
  <c r="A6" i="14" s="1"/>
  <c r="F6" i="14"/>
  <c r="G6" i="14"/>
  <c r="H6" i="14"/>
  <c r="I6" i="14"/>
  <c r="J6" i="14"/>
  <c r="K6" i="14"/>
  <c r="L6" i="14"/>
  <c r="E7" i="14"/>
  <c r="D7" i="14" s="1"/>
  <c r="C7" i="14" s="1"/>
  <c r="B7" i="14" s="1"/>
  <c r="A7" i="14" s="1"/>
  <c r="F7" i="14"/>
  <c r="G7" i="14"/>
  <c r="H7" i="14"/>
  <c r="I7" i="14"/>
  <c r="J7" i="14"/>
  <c r="K7" i="14"/>
  <c r="L7" i="14"/>
  <c r="E8" i="14"/>
  <c r="D8" i="14" s="1"/>
  <c r="C8" i="14" s="1"/>
  <c r="B8" i="14" s="1"/>
  <c r="A8" i="14" s="1"/>
  <c r="F8" i="14"/>
  <c r="G8" i="14"/>
  <c r="H8" i="14"/>
  <c r="I8" i="14"/>
  <c r="J8" i="14"/>
  <c r="K8" i="14"/>
  <c r="L8" i="14"/>
  <c r="E9" i="14"/>
  <c r="D9" i="14" s="1"/>
  <c r="C9" i="14" s="1"/>
  <c r="B9" i="14" s="1"/>
  <c r="A9" i="14" s="1"/>
  <c r="F9" i="14"/>
  <c r="G9" i="14"/>
  <c r="H9" i="14"/>
  <c r="I9" i="14"/>
  <c r="J9" i="14"/>
  <c r="K9" i="14"/>
  <c r="L9" i="14"/>
  <c r="E10" i="14"/>
  <c r="D10" i="14" s="1"/>
  <c r="C10" i="14" s="1"/>
  <c r="B10" i="14" s="1"/>
  <c r="A10" i="14" s="1"/>
  <c r="F10" i="14"/>
  <c r="G10" i="14"/>
  <c r="H10" i="14"/>
  <c r="I10" i="14"/>
  <c r="J10" i="14"/>
  <c r="K10" i="14"/>
  <c r="L10" i="14"/>
  <c r="E11" i="14"/>
  <c r="D11" i="14" s="1"/>
  <c r="C11" i="14" s="1"/>
  <c r="B11" i="14" s="1"/>
  <c r="A11" i="14" s="1"/>
  <c r="F11" i="14"/>
  <c r="G11" i="14"/>
  <c r="H11" i="14"/>
  <c r="I11" i="14"/>
  <c r="J11" i="14"/>
  <c r="K11" i="14"/>
  <c r="L11" i="14"/>
  <c r="E12" i="14"/>
  <c r="D12" i="14" s="1"/>
  <c r="C12" i="14" s="1"/>
  <c r="B12" i="14" s="1"/>
  <c r="A12" i="14" s="1"/>
  <c r="F12" i="14"/>
  <c r="G12" i="14"/>
  <c r="H12" i="14"/>
  <c r="I12" i="14"/>
  <c r="J12" i="14"/>
  <c r="K12" i="14"/>
  <c r="L12" i="14"/>
  <c r="E13" i="14"/>
  <c r="D13" i="14" s="1"/>
  <c r="C13" i="14" s="1"/>
  <c r="B13" i="14" s="1"/>
  <c r="A13" i="14" s="1"/>
  <c r="F13" i="14"/>
  <c r="G13" i="14"/>
  <c r="H13" i="14"/>
  <c r="I13" i="14"/>
  <c r="J13" i="14"/>
  <c r="K13" i="14"/>
  <c r="L13" i="14"/>
  <c r="E14" i="14"/>
  <c r="D14" i="14" s="1"/>
  <c r="C14" i="14" s="1"/>
  <c r="B14" i="14" s="1"/>
  <c r="A14" i="14" s="1"/>
  <c r="F14" i="14"/>
  <c r="G14" i="14"/>
  <c r="H14" i="14"/>
  <c r="I14" i="14"/>
  <c r="J14" i="14"/>
  <c r="K14" i="14"/>
  <c r="L14" i="14"/>
  <c r="E15" i="14"/>
  <c r="D15" i="14" s="1"/>
  <c r="C15" i="14" s="1"/>
  <c r="B15" i="14" s="1"/>
  <c r="A15" i="14" s="1"/>
  <c r="F15" i="14"/>
  <c r="G15" i="14"/>
  <c r="H15" i="14"/>
  <c r="I15" i="14"/>
  <c r="J15" i="14"/>
  <c r="K15" i="14"/>
  <c r="L15" i="14"/>
  <c r="E16" i="14"/>
  <c r="D16" i="14" s="1"/>
  <c r="C16" i="14" s="1"/>
  <c r="B16" i="14" s="1"/>
  <c r="A16" i="14" s="1"/>
  <c r="F16" i="14"/>
  <c r="G16" i="14"/>
  <c r="H16" i="14"/>
  <c r="I16" i="14"/>
  <c r="J16" i="14"/>
  <c r="K16" i="14"/>
  <c r="L16" i="14"/>
  <c r="E17" i="14"/>
  <c r="D17" i="14" s="1"/>
  <c r="C17" i="14" s="1"/>
  <c r="B17" i="14" s="1"/>
  <c r="A17" i="14" s="1"/>
  <c r="F17" i="14"/>
  <c r="G17" i="14"/>
  <c r="H17" i="14"/>
  <c r="I17" i="14"/>
  <c r="J17" i="14"/>
  <c r="K17" i="14"/>
  <c r="L17" i="14"/>
  <c r="E18" i="14"/>
  <c r="D18" i="14" s="1"/>
  <c r="C18" i="14" s="1"/>
  <c r="B18" i="14" s="1"/>
  <c r="A18" i="14" s="1"/>
  <c r="F18" i="14"/>
  <c r="G18" i="14"/>
  <c r="H18" i="14"/>
  <c r="I18" i="14"/>
  <c r="J18" i="14"/>
  <c r="K18" i="14"/>
  <c r="L18" i="14"/>
  <c r="E19" i="14"/>
  <c r="D19" i="14" s="1"/>
  <c r="C19" i="14" s="1"/>
  <c r="B19" i="14" s="1"/>
  <c r="A19" i="14" s="1"/>
  <c r="F19" i="14"/>
  <c r="G19" i="14"/>
  <c r="H19" i="14"/>
  <c r="I19" i="14"/>
  <c r="J19" i="14"/>
  <c r="K19" i="14"/>
  <c r="L19" i="14"/>
  <c r="E20" i="14"/>
  <c r="D20" i="14" s="1"/>
  <c r="C20" i="14" s="1"/>
  <c r="B20" i="14" s="1"/>
  <c r="A20" i="14" s="1"/>
  <c r="F20" i="14"/>
  <c r="G20" i="14"/>
  <c r="H20" i="14"/>
  <c r="I20" i="14"/>
  <c r="J20" i="14"/>
  <c r="K20" i="14"/>
  <c r="L20" i="14"/>
  <c r="E21" i="14"/>
  <c r="D21" i="14" s="1"/>
  <c r="C21" i="14" s="1"/>
  <c r="B21" i="14" s="1"/>
  <c r="A21" i="14" s="1"/>
  <c r="F21" i="14"/>
  <c r="G21" i="14"/>
  <c r="H21" i="14"/>
  <c r="I21" i="14"/>
  <c r="J21" i="14"/>
  <c r="K21" i="14"/>
  <c r="L21" i="14"/>
  <c r="E22" i="14"/>
  <c r="D22" i="14" s="1"/>
  <c r="C22" i="14" s="1"/>
  <c r="B22" i="14" s="1"/>
  <c r="A22" i="14" s="1"/>
  <c r="F22" i="14"/>
  <c r="G22" i="14"/>
  <c r="H22" i="14"/>
  <c r="I22" i="14"/>
  <c r="J22" i="14"/>
  <c r="K22" i="14"/>
  <c r="L22" i="14"/>
  <c r="E23" i="14"/>
  <c r="D23" i="14" s="1"/>
  <c r="C23" i="14" s="1"/>
  <c r="B23" i="14" s="1"/>
  <c r="A23" i="14" s="1"/>
  <c r="F23" i="14"/>
  <c r="G23" i="14"/>
  <c r="H23" i="14"/>
  <c r="I23" i="14"/>
  <c r="J23" i="14"/>
  <c r="K23" i="14"/>
  <c r="L23" i="14"/>
  <c r="E24" i="14"/>
  <c r="D24" i="14" s="1"/>
  <c r="C24" i="14" s="1"/>
  <c r="B24" i="14" s="1"/>
  <c r="A24" i="14" s="1"/>
  <c r="F24" i="14"/>
  <c r="G24" i="14"/>
  <c r="H24" i="14"/>
  <c r="I24" i="14"/>
  <c r="J24" i="14"/>
  <c r="K24" i="14"/>
  <c r="L24" i="14"/>
  <c r="E25" i="14"/>
  <c r="D25" i="14" s="1"/>
  <c r="C25" i="14" s="1"/>
  <c r="B25" i="14" s="1"/>
  <c r="A25" i="14" s="1"/>
  <c r="F25" i="14"/>
  <c r="G25" i="14"/>
  <c r="H25" i="14"/>
  <c r="I25" i="14"/>
  <c r="J25" i="14"/>
  <c r="K25" i="14"/>
  <c r="L25" i="14"/>
  <c r="E26" i="14"/>
  <c r="D26" i="14" s="1"/>
  <c r="C26" i="14" s="1"/>
  <c r="B26" i="14" s="1"/>
  <c r="A26" i="14" s="1"/>
  <c r="F26" i="14"/>
  <c r="G26" i="14"/>
  <c r="H26" i="14"/>
  <c r="I26" i="14"/>
  <c r="J26" i="14"/>
  <c r="K26" i="14"/>
  <c r="L26" i="14"/>
  <c r="E27" i="14"/>
  <c r="D27" i="14" s="1"/>
  <c r="C27" i="14" s="1"/>
  <c r="B27" i="14" s="1"/>
  <c r="A27" i="14" s="1"/>
  <c r="F27" i="14"/>
  <c r="G27" i="14"/>
  <c r="H27" i="14"/>
  <c r="I27" i="14"/>
  <c r="J27" i="14"/>
  <c r="K27" i="14"/>
  <c r="L27" i="14"/>
  <c r="E28" i="14"/>
  <c r="D28" i="14" s="1"/>
  <c r="C28" i="14" s="1"/>
  <c r="B28" i="14" s="1"/>
  <c r="A28" i="14" s="1"/>
  <c r="F28" i="14"/>
  <c r="G28" i="14"/>
  <c r="H28" i="14"/>
  <c r="I28" i="14"/>
  <c r="J28" i="14"/>
  <c r="K28" i="14"/>
  <c r="L28" i="14"/>
  <c r="E29" i="14"/>
  <c r="D29" i="14" s="1"/>
  <c r="C29" i="14" s="1"/>
  <c r="B29" i="14" s="1"/>
  <c r="A29" i="14" s="1"/>
  <c r="F29" i="14"/>
  <c r="G29" i="14"/>
  <c r="H29" i="14"/>
  <c r="I29" i="14"/>
  <c r="J29" i="14"/>
  <c r="K29" i="14"/>
  <c r="L29" i="14"/>
  <c r="E30" i="14"/>
  <c r="D30" i="14" s="1"/>
  <c r="C30" i="14" s="1"/>
  <c r="B30" i="14" s="1"/>
  <c r="A30" i="14" s="1"/>
  <c r="F30" i="14"/>
  <c r="G30" i="14"/>
  <c r="H30" i="14"/>
  <c r="I30" i="14"/>
  <c r="J30" i="14"/>
  <c r="K30" i="14"/>
  <c r="L30" i="14"/>
  <c r="E31" i="14"/>
  <c r="D31" i="14" s="1"/>
  <c r="C31" i="14" s="1"/>
  <c r="B31" i="14" s="1"/>
  <c r="A31" i="14" s="1"/>
  <c r="F31" i="14"/>
  <c r="G31" i="14"/>
  <c r="H31" i="14"/>
  <c r="I31" i="14"/>
  <c r="J31" i="14"/>
  <c r="K31" i="14"/>
  <c r="L31" i="14"/>
  <c r="F32" i="14"/>
  <c r="F2" i="14"/>
  <c r="C1" i="5"/>
  <c r="D1" i="5" s="1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AI1" i="5" s="1"/>
  <c r="AJ1" i="5" s="1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W1" i="5" s="1"/>
  <c r="AX1" i="5" s="1"/>
  <c r="AY1" i="5" s="1"/>
  <c r="H7" i="12"/>
  <c r="F7" i="10" s="1"/>
  <c r="E7" i="12"/>
  <c r="D7" i="10" s="1"/>
  <c r="A7" i="12"/>
  <c r="A7" i="10" s="1"/>
  <c r="K2" i="12"/>
  <c r="I2" i="6" s="1"/>
  <c r="V2" i="6" s="1"/>
  <c r="AJ2" i="6" s="1"/>
  <c r="G7" i="12"/>
  <c r="I32" i="14"/>
  <c r="H32" i="14"/>
  <c r="I2" i="14"/>
  <c r="H2" i="14"/>
  <c r="B2" i="7"/>
  <c r="P62" i="16"/>
  <c r="P63" i="16"/>
  <c r="P64" i="16"/>
  <c r="P65" i="16"/>
  <c r="S35" i="14"/>
  <c r="AL7" i="6"/>
  <c r="AJ7" i="6"/>
  <c r="AC11" i="6"/>
  <c r="AC12" i="6"/>
  <c r="Z13" i="6"/>
  <c r="AC13" i="6"/>
  <c r="AD13" i="6"/>
  <c r="Z14" i="6"/>
  <c r="AF14" i="6" s="1"/>
  <c r="AC14" i="6"/>
  <c r="AD14" i="6"/>
  <c r="Z15" i="6"/>
  <c r="AH15" i="6" s="1"/>
  <c r="AC15" i="6"/>
  <c r="AD15" i="6"/>
  <c r="Z16" i="6"/>
  <c r="AK16" i="6" s="1"/>
  <c r="AC16" i="6"/>
  <c r="AD16" i="6"/>
  <c r="Z17" i="6"/>
  <c r="AK17" i="6" s="1"/>
  <c r="AC17" i="6"/>
  <c r="AD17" i="6"/>
  <c r="Z18" i="6"/>
  <c r="AH18" i="6" s="1"/>
  <c r="AC18" i="6"/>
  <c r="AD18" i="6"/>
  <c r="Z19" i="6"/>
  <c r="AK19" i="6" s="1"/>
  <c r="AC19" i="6"/>
  <c r="AD19" i="6"/>
  <c r="Z20" i="6"/>
  <c r="AK20" i="6" s="1"/>
  <c r="AC20" i="6"/>
  <c r="AD20" i="6"/>
  <c r="Z21" i="6"/>
  <c r="AK21" i="6" s="1"/>
  <c r="AC21" i="6"/>
  <c r="AD21" i="6"/>
  <c r="Z22" i="6"/>
  <c r="AH22" i="6" s="1"/>
  <c r="AC22" i="6"/>
  <c r="AD22" i="6"/>
  <c r="Z23" i="6"/>
  <c r="AK23" i="6" s="1"/>
  <c r="AC23" i="6"/>
  <c r="AD23" i="6"/>
  <c r="Z24" i="6"/>
  <c r="AK24" i="6" s="1"/>
  <c r="AC24" i="6"/>
  <c r="AD24" i="6"/>
  <c r="Z25" i="6"/>
  <c r="AK25" i="6" s="1"/>
  <c r="AC25" i="6"/>
  <c r="AD25" i="6"/>
  <c r="Z26" i="6"/>
  <c r="AH26" i="6" s="1"/>
  <c r="AC26" i="6"/>
  <c r="AD26" i="6"/>
  <c r="Z27" i="6"/>
  <c r="AK27" i="6" s="1"/>
  <c r="AC27" i="6"/>
  <c r="AD27" i="6"/>
  <c r="Z28" i="6"/>
  <c r="AK28" i="6" s="1"/>
  <c r="AC28" i="6"/>
  <c r="AD28" i="6"/>
  <c r="Z29" i="6"/>
  <c r="AK29" i="6" s="1"/>
  <c r="AC29" i="6"/>
  <c r="AD29" i="6"/>
  <c r="Z30" i="6"/>
  <c r="AH30" i="6" s="1"/>
  <c r="AC30" i="6"/>
  <c r="AD30" i="6"/>
  <c r="Z31" i="6"/>
  <c r="AK31" i="6" s="1"/>
  <c r="AC31" i="6"/>
  <c r="AD31" i="6"/>
  <c r="Z32" i="6"/>
  <c r="AK32" i="6" s="1"/>
  <c r="AC32" i="6"/>
  <c r="AD32" i="6"/>
  <c r="Z33" i="6"/>
  <c r="AK33" i="6" s="1"/>
  <c r="AC33" i="6"/>
  <c r="AD33" i="6"/>
  <c r="Z34" i="6"/>
  <c r="AH34" i="6" s="1"/>
  <c r="AC34" i="6"/>
  <c r="AD34" i="6"/>
  <c r="Z35" i="6"/>
  <c r="AK35" i="6" s="1"/>
  <c r="AC35" i="6"/>
  <c r="AD35" i="6"/>
  <c r="Z36" i="6"/>
  <c r="AK36" i="6" s="1"/>
  <c r="AC36" i="6"/>
  <c r="AD36" i="6"/>
  <c r="Z37" i="6"/>
  <c r="AK37" i="6" s="1"/>
  <c r="AC37" i="6"/>
  <c r="AD37" i="6"/>
  <c r="Z38" i="6"/>
  <c r="AH38" i="6" s="1"/>
  <c r="AC38" i="6"/>
  <c r="AD38" i="6"/>
  <c r="Z39" i="6"/>
  <c r="AK39" i="6" s="1"/>
  <c r="AC39" i="6"/>
  <c r="AD39" i="6"/>
  <c r="AC10" i="6"/>
  <c r="N10" i="6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M13" i="12"/>
  <c r="M14" i="12"/>
  <c r="M15" i="12"/>
  <c r="M16" i="12"/>
  <c r="M17" i="12"/>
  <c r="M18" i="12"/>
  <c r="M19" i="12"/>
  <c r="M20" i="12"/>
  <c r="M21" i="12"/>
  <c r="N22" i="12"/>
  <c r="M23" i="12"/>
  <c r="M24" i="12"/>
  <c r="M25" i="12"/>
  <c r="N26" i="12"/>
  <c r="M27" i="12"/>
  <c r="N28" i="12"/>
  <c r="M29" i="12"/>
  <c r="N30" i="12"/>
  <c r="M31" i="12"/>
  <c r="M32" i="12"/>
  <c r="M33" i="12"/>
  <c r="N34" i="12"/>
  <c r="M35" i="12"/>
  <c r="M36" i="12"/>
  <c r="M37" i="12"/>
  <c r="M38" i="12"/>
  <c r="N39" i="12"/>
  <c r="O14" i="6"/>
  <c r="O15" i="6"/>
  <c r="O16" i="6"/>
  <c r="O17" i="6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2" i="7"/>
  <c r="E32" i="14"/>
  <c r="G32" i="16" s="1"/>
  <c r="L32" i="14"/>
  <c r="K32" i="14"/>
  <c r="J32" i="14"/>
  <c r="G32" i="14"/>
  <c r="O12" i="12"/>
  <c r="K4" i="1"/>
  <c r="H7" i="6" s="1"/>
  <c r="U7" i="6" s="1"/>
  <c r="AI7" i="6" s="1"/>
  <c r="J116" i="5"/>
  <c r="F116" i="5"/>
  <c r="E116" i="5"/>
  <c r="D116" i="5"/>
  <c r="J115" i="5"/>
  <c r="F115" i="5"/>
  <c r="E115" i="5"/>
  <c r="D115" i="5"/>
  <c r="J114" i="5"/>
  <c r="F114" i="5"/>
  <c r="E114" i="5"/>
  <c r="D114" i="5"/>
  <c r="J113" i="5"/>
  <c r="F113" i="5"/>
  <c r="E113" i="5"/>
  <c r="D113" i="5"/>
  <c r="T41" i="6"/>
  <c r="J2" i="14"/>
  <c r="L2" i="14"/>
  <c r="K2" i="14"/>
  <c r="G2" i="14"/>
  <c r="G10" i="6"/>
  <c r="I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1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10" i="6"/>
  <c r="E10" i="6"/>
  <c r="A10" i="6"/>
  <c r="F7" i="6"/>
  <c r="S7" i="6" s="1"/>
  <c r="AE7" i="6" s="1"/>
  <c r="D7" i="6"/>
  <c r="Q7" i="6" s="1"/>
  <c r="AC7" i="6" s="1"/>
  <c r="A7" i="6"/>
  <c r="M7" i="6" s="1"/>
  <c r="Y7" i="6" s="1"/>
  <c r="J69" i="5"/>
  <c r="G69" i="5"/>
  <c r="J15" i="5"/>
  <c r="AA51" i="5"/>
  <c r="AA52" i="5"/>
  <c r="AA53" i="5"/>
  <c r="AA54" i="5"/>
  <c r="J89" i="5"/>
  <c r="J11" i="10"/>
  <c r="K11" i="10" s="1"/>
  <c r="J12" i="10"/>
  <c r="J13" i="10"/>
  <c r="J14" i="10"/>
  <c r="J15" i="10"/>
  <c r="J16" i="10"/>
  <c r="J17" i="10"/>
  <c r="K17" i="10" s="1"/>
  <c r="J18" i="10"/>
  <c r="J19" i="10"/>
  <c r="J20" i="10"/>
  <c r="J21" i="10"/>
  <c r="J22" i="10"/>
  <c r="J23" i="10"/>
  <c r="J24" i="10"/>
  <c r="J25" i="10"/>
  <c r="J26" i="10"/>
  <c r="J27" i="10"/>
  <c r="J28" i="10"/>
  <c r="K28" i="10" s="1"/>
  <c r="J29" i="10"/>
  <c r="K29" i="10" s="1"/>
  <c r="J30" i="10"/>
  <c r="K30" i="10" s="1"/>
  <c r="J31" i="10"/>
  <c r="J32" i="10"/>
  <c r="J33" i="10"/>
  <c r="K33" i="10" s="1"/>
  <c r="J34" i="10"/>
  <c r="J35" i="10"/>
  <c r="J36" i="10"/>
  <c r="K36" i="10" s="1"/>
  <c r="J37" i="10"/>
  <c r="K37" i="10" s="1"/>
  <c r="J38" i="10"/>
  <c r="J39" i="10"/>
  <c r="K39" i="10" s="1"/>
  <c r="J10" i="10"/>
  <c r="K10" i="10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B7" i="9"/>
  <c r="E7" i="9"/>
  <c r="H7" i="9"/>
  <c r="K2" i="9"/>
  <c r="J8" i="5"/>
  <c r="L35" i="1"/>
  <c r="M35" i="1" s="1"/>
  <c r="J11" i="9"/>
  <c r="L11" i="9" s="1"/>
  <c r="J12" i="9"/>
  <c r="L12" i="9" s="1"/>
  <c r="N12" i="9" s="1"/>
  <c r="J13" i="9"/>
  <c r="L13" i="9" s="1"/>
  <c r="N13" i="9" s="1"/>
  <c r="J14" i="9"/>
  <c r="K14" i="9" s="1"/>
  <c r="J15" i="9"/>
  <c r="L15" i="9" s="1"/>
  <c r="N15" i="9" s="1"/>
  <c r="J16" i="9"/>
  <c r="K16" i="9" s="1"/>
  <c r="J17" i="9"/>
  <c r="L17" i="9" s="1"/>
  <c r="N17" i="9" s="1"/>
  <c r="J18" i="9"/>
  <c r="L18" i="9" s="1"/>
  <c r="N18" i="9" s="1"/>
  <c r="J19" i="9"/>
  <c r="L19" i="9" s="1"/>
  <c r="N19" i="9" s="1"/>
  <c r="J20" i="9"/>
  <c r="K20" i="9" s="1"/>
  <c r="J21" i="9"/>
  <c r="L21" i="9" s="1"/>
  <c r="N21" i="9" s="1"/>
  <c r="J22" i="9"/>
  <c r="L22" i="9" s="1"/>
  <c r="N22" i="9" s="1"/>
  <c r="J23" i="9"/>
  <c r="L23" i="9" s="1"/>
  <c r="N23" i="9" s="1"/>
  <c r="J24" i="9"/>
  <c r="L24" i="9" s="1"/>
  <c r="N24" i="9" s="1"/>
  <c r="J25" i="9"/>
  <c r="L25" i="9" s="1"/>
  <c r="N25" i="9" s="1"/>
  <c r="J26" i="9"/>
  <c r="K26" i="9" s="1"/>
  <c r="J27" i="9"/>
  <c r="K27" i="9" s="1"/>
  <c r="J28" i="9"/>
  <c r="L28" i="9" s="1"/>
  <c r="N28" i="9" s="1"/>
  <c r="J29" i="9"/>
  <c r="L29" i="9" s="1"/>
  <c r="N29" i="9" s="1"/>
  <c r="J30" i="9"/>
  <c r="K30" i="9" s="1"/>
  <c r="J31" i="9"/>
  <c r="L31" i="9" s="1"/>
  <c r="N31" i="9" s="1"/>
  <c r="J32" i="9"/>
  <c r="L32" i="9" s="1"/>
  <c r="N32" i="9" s="1"/>
  <c r="J33" i="9"/>
  <c r="L33" i="9" s="1"/>
  <c r="N33" i="9" s="1"/>
  <c r="J34" i="9"/>
  <c r="L34" i="9" s="1"/>
  <c r="N34" i="9" s="1"/>
  <c r="J35" i="9"/>
  <c r="K35" i="9" s="1"/>
  <c r="J36" i="9"/>
  <c r="L36" i="9" s="1"/>
  <c r="N36" i="9" s="1"/>
  <c r="J37" i="9"/>
  <c r="L37" i="9" s="1"/>
  <c r="N37" i="9" s="1"/>
  <c r="J38" i="9"/>
  <c r="L38" i="9" s="1"/>
  <c r="N38" i="9" s="1"/>
  <c r="J39" i="9"/>
  <c r="L39" i="9" s="1"/>
  <c r="N39" i="9" s="1"/>
  <c r="J10" i="9"/>
  <c r="O11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11" i="10"/>
  <c r="O12" i="10"/>
  <c r="O13" i="10"/>
  <c r="O14" i="10"/>
  <c r="O15" i="10"/>
  <c r="O16" i="10"/>
  <c r="O17" i="10"/>
  <c r="O18" i="10"/>
  <c r="O10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N10" i="10"/>
  <c r="N39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G76" i="5"/>
  <c r="N2" i="12"/>
  <c r="N3" i="12"/>
  <c r="N4" i="12"/>
  <c r="N5" i="12"/>
  <c r="N1" i="12"/>
  <c r="O10" i="12"/>
  <c r="B40" i="12"/>
  <c r="O10" i="1"/>
  <c r="J2" i="10"/>
  <c r="M1" i="10"/>
  <c r="M2" i="10"/>
  <c r="M3" i="10"/>
  <c r="M4" i="10"/>
  <c r="M5" i="10"/>
  <c r="J76" i="5"/>
  <c r="F76" i="5"/>
  <c r="E76" i="5"/>
  <c r="J75" i="5"/>
  <c r="G75" i="5"/>
  <c r="F75" i="5"/>
  <c r="E75" i="5"/>
  <c r="J74" i="5"/>
  <c r="G74" i="5"/>
  <c r="F74" i="5"/>
  <c r="E74" i="5"/>
  <c r="J73" i="5"/>
  <c r="G73" i="5"/>
  <c r="F73" i="5"/>
  <c r="E73" i="5"/>
  <c r="J72" i="5"/>
  <c r="G72" i="5"/>
  <c r="F72" i="5"/>
  <c r="E72" i="5"/>
  <c r="J70" i="5"/>
  <c r="G70" i="5"/>
  <c r="F70" i="5"/>
  <c r="E70" i="5"/>
  <c r="C70" i="5"/>
  <c r="F69" i="5"/>
  <c r="E69" i="5"/>
  <c r="C69" i="5"/>
  <c r="J68" i="5"/>
  <c r="G68" i="5"/>
  <c r="F68" i="5"/>
  <c r="E68" i="5"/>
  <c r="C68" i="5"/>
  <c r="J67" i="5"/>
  <c r="G67" i="5"/>
  <c r="F67" i="5"/>
  <c r="E67" i="5"/>
  <c r="C67" i="5"/>
  <c r="J66" i="5"/>
  <c r="G66" i="5"/>
  <c r="F66" i="5"/>
  <c r="E66" i="5"/>
  <c r="C66" i="5"/>
  <c r="J65" i="5"/>
  <c r="G65" i="5"/>
  <c r="F65" i="5"/>
  <c r="E65" i="5"/>
  <c r="D65" i="5"/>
  <c r="C65" i="5"/>
  <c r="J64" i="5"/>
  <c r="G64" i="5"/>
  <c r="F64" i="5"/>
  <c r="E64" i="5"/>
  <c r="D64" i="5"/>
  <c r="C64" i="5"/>
  <c r="J63" i="5"/>
  <c r="G63" i="5"/>
  <c r="F63" i="5"/>
  <c r="E63" i="5"/>
  <c r="D63" i="5"/>
  <c r="J62" i="5"/>
  <c r="G62" i="5"/>
  <c r="F62" i="5"/>
  <c r="E62" i="5"/>
  <c r="D62" i="5"/>
  <c r="C62" i="5"/>
  <c r="J61" i="5"/>
  <c r="G61" i="5"/>
  <c r="F61" i="5"/>
  <c r="E61" i="5"/>
  <c r="D61" i="5"/>
  <c r="C61" i="5"/>
  <c r="J60" i="5"/>
  <c r="G60" i="5"/>
  <c r="F60" i="5"/>
  <c r="E60" i="5"/>
  <c r="D60" i="5"/>
  <c r="C60" i="5"/>
  <c r="G59" i="5"/>
  <c r="F59" i="5"/>
  <c r="E59" i="5"/>
  <c r="D59" i="5"/>
  <c r="C59" i="5"/>
  <c r="J58" i="5"/>
  <c r="E58" i="5"/>
  <c r="D58" i="5"/>
  <c r="J57" i="5"/>
  <c r="E57" i="5"/>
  <c r="D57" i="5"/>
  <c r="J56" i="5"/>
  <c r="E56" i="5"/>
  <c r="D56" i="5"/>
  <c r="J55" i="5"/>
  <c r="E55" i="5"/>
  <c r="D55" i="5"/>
  <c r="J54" i="5"/>
  <c r="E54" i="5"/>
  <c r="D54" i="5"/>
  <c r="J53" i="5"/>
  <c r="E53" i="5"/>
  <c r="D53" i="5"/>
  <c r="J50" i="5"/>
  <c r="E50" i="5"/>
  <c r="D50" i="5"/>
  <c r="F44" i="5"/>
  <c r="E44" i="5"/>
  <c r="D44" i="5"/>
  <c r="C44" i="5"/>
  <c r="J43" i="5"/>
  <c r="E43" i="5"/>
  <c r="D43" i="5"/>
  <c r="C43" i="5"/>
  <c r="J41" i="5"/>
  <c r="F41" i="5"/>
  <c r="E41" i="5"/>
  <c r="D41" i="5"/>
  <c r="J40" i="5"/>
  <c r="F40" i="5"/>
  <c r="E40" i="5"/>
  <c r="D40" i="5"/>
  <c r="C40" i="5"/>
  <c r="J34" i="5"/>
  <c r="J33" i="5"/>
  <c r="J32" i="5"/>
  <c r="L20" i="1"/>
  <c r="N20" i="1" s="1"/>
  <c r="D32" i="5"/>
  <c r="J27" i="5"/>
  <c r="E27" i="5"/>
  <c r="D27" i="5"/>
  <c r="J26" i="5"/>
  <c r="E26" i="5"/>
  <c r="D26" i="5"/>
  <c r="J25" i="5"/>
  <c r="E25" i="5"/>
  <c r="D25" i="5"/>
  <c r="J23" i="5"/>
  <c r="E23" i="5"/>
  <c r="D23" i="5"/>
  <c r="J22" i="5"/>
  <c r="E22" i="5"/>
  <c r="D22" i="5"/>
  <c r="J21" i="5"/>
  <c r="E21" i="5"/>
  <c r="D21" i="5"/>
  <c r="J19" i="5"/>
  <c r="F19" i="5"/>
  <c r="E19" i="5"/>
  <c r="D19" i="5"/>
  <c r="J18" i="5"/>
  <c r="E18" i="5"/>
  <c r="D18" i="5"/>
  <c r="J17" i="5"/>
  <c r="E17" i="5"/>
  <c r="D17" i="5"/>
  <c r="J16" i="5"/>
  <c r="F16" i="5"/>
  <c r="E16" i="5"/>
  <c r="D16" i="5"/>
  <c r="E15" i="5"/>
  <c r="D15" i="5"/>
  <c r="J14" i="5"/>
  <c r="E14" i="5"/>
  <c r="D14" i="5"/>
  <c r="J13" i="5"/>
  <c r="E13" i="5"/>
  <c r="D13" i="5"/>
  <c r="J12" i="5"/>
  <c r="E12" i="5"/>
  <c r="D12" i="5"/>
  <c r="J11" i="5"/>
  <c r="E11" i="5"/>
  <c r="D11" i="5"/>
  <c r="E8" i="5"/>
  <c r="D8" i="5"/>
  <c r="B40" i="1"/>
  <c r="N5" i="9"/>
  <c r="N4" i="9"/>
  <c r="N3" i="9"/>
  <c r="N2" i="9"/>
  <c r="N1" i="9"/>
  <c r="H3" i="7"/>
  <c r="D3" i="7" s="1"/>
  <c r="H4" i="7"/>
  <c r="C4" i="7" s="1"/>
  <c r="H5" i="7"/>
  <c r="C5" i="7" s="1"/>
  <c r="H6" i="7"/>
  <c r="D6" i="7" s="1"/>
  <c r="H7" i="7"/>
  <c r="C7" i="7" s="1"/>
  <c r="H8" i="7"/>
  <c r="C8" i="7" s="1"/>
  <c r="H9" i="7"/>
  <c r="D9" i="7" s="1"/>
  <c r="H10" i="7"/>
  <c r="C10" i="7" s="1"/>
  <c r="H11" i="7"/>
  <c r="C11" i="7" s="1"/>
  <c r="H12" i="7"/>
  <c r="C12" i="7" s="1"/>
  <c r="H13" i="7"/>
  <c r="D13" i="7" s="1"/>
  <c r="H14" i="7"/>
  <c r="C14" i="7" s="1"/>
  <c r="H15" i="7"/>
  <c r="C15" i="7" s="1"/>
  <c r="H16" i="7"/>
  <c r="C16" i="7" s="1"/>
  <c r="H17" i="7"/>
  <c r="D17" i="7" s="1"/>
  <c r="H18" i="7"/>
  <c r="C18" i="7" s="1"/>
  <c r="H19" i="7"/>
  <c r="C19" i="7" s="1"/>
  <c r="H20" i="7"/>
  <c r="D20" i="7" s="1"/>
  <c r="H21" i="7"/>
  <c r="D21" i="7" s="1"/>
  <c r="H22" i="7"/>
  <c r="D22" i="7" s="1"/>
  <c r="H23" i="7"/>
  <c r="D23" i="7" s="1"/>
  <c r="H24" i="7"/>
  <c r="D24" i="7" s="1"/>
  <c r="H25" i="7"/>
  <c r="D25" i="7" s="1"/>
  <c r="H26" i="7"/>
  <c r="C26" i="7" s="1"/>
  <c r="H27" i="7"/>
  <c r="D27" i="7" s="1"/>
  <c r="H28" i="7"/>
  <c r="D28" i="7" s="1"/>
  <c r="H29" i="7"/>
  <c r="C29" i="7" s="1"/>
  <c r="H30" i="7"/>
  <c r="C30" i="7" s="1"/>
  <c r="H31" i="7"/>
  <c r="C31" i="7" s="1"/>
  <c r="H2" i="7"/>
  <c r="D2" i="7" s="1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O11" i="6"/>
  <c r="O12" i="6"/>
  <c r="O13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P10" i="6"/>
  <c r="O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2" i="7"/>
  <c r="L33" i="1"/>
  <c r="M33" i="1" s="1"/>
  <c r="L25" i="1"/>
  <c r="M25" i="1" s="1"/>
  <c r="L27" i="1"/>
  <c r="M27" i="1" s="1"/>
  <c r="L19" i="1"/>
  <c r="N19" i="1" s="1"/>
  <c r="L21" i="1"/>
  <c r="M21" i="1" s="1"/>
  <c r="L13" i="1"/>
  <c r="M13" i="1" s="1"/>
  <c r="L31" i="1"/>
  <c r="M31" i="1" s="1"/>
  <c r="L23" i="1"/>
  <c r="M23" i="1" s="1"/>
  <c r="L15" i="1"/>
  <c r="N15" i="1" s="1"/>
  <c r="AG30" i="6"/>
  <c r="AE35" i="6"/>
  <c r="AG32" i="6"/>
  <c r="AE27" i="6"/>
  <c r="AG24" i="6"/>
  <c r="AG38" i="6"/>
  <c r="AE25" i="6"/>
  <c r="AG34" i="6"/>
  <c r="AE29" i="6"/>
  <c r="AE33" i="6"/>
  <c r="AE38" i="6"/>
  <c r="AE30" i="6"/>
  <c r="AE31" i="6"/>
  <c r="AE36" i="6"/>
  <c r="AE28" i="6"/>
  <c r="AG25" i="6"/>
  <c r="AE12" i="6"/>
  <c r="AG22" i="6"/>
  <c r="AE22" i="6"/>
  <c r="AE23" i="6"/>
  <c r="AE20" i="6"/>
  <c r="AE19" i="6"/>
  <c r="AG17" i="6"/>
  <c r="AE17" i="6"/>
  <c r="AG16" i="6"/>
  <c r="AG14" i="6"/>
  <c r="AE14" i="6"/>
  <c r="AG11" i="6"/>
  <c r="M11" i="12"/>
  <c r="M10" i="12"/>
  <c r="L32" i="1"/>
  <c r="M32" i="1" s="1"/>
  <c r="L38" i="1"/>
  <c r="M38" i="1" s="1"/>
  <c r="L36" i="1"/>
  <c r="N36" i="1" s="1"/>
  <c r="L24" i="1"/>
  <c r="M24" i="1" s="1"/>
  <c r="L22" i="1"/>
  <c r="N22" i="1" s="1"/>
  <c r="L14" i="1"/>
  <c r="M14" i="1" s="1"/>
  <c r="L26" i="1"/>
  <c r="N26" i="1" s="1"/>
  <c r="L16" i="1"/>
  <c r="M16" i="1" s="1"/>
  <c r="L34" i="1"/>
  <c r="N34" i="1" s="1"/>
  <c r="L37" i="1"/>
  <c r="M37" i="1" s="1"/>
  <c r="L18" i="1"/>
  <c r="M18" i="1" s="1"/>
  <c r="L30" i="1"/>
  <c r="M30" i="1" s="1"/>
  <c r="L28" i="1"/>
  <c r="M28" i="1" s="1"/>
  <c r="L17" i="1"/>
  <c r="M17" i="1" s="1"/>
  <c r="L39" i="1"/>
  <c r="M39" i="1" s="1"/>
  <c r="L29" i="1"/>
  <c r="N29" i="1" s="1"/>
  <c r="E2" i="14"/>
  <c r="D2" i="14" s="1"/>
  <c r="C2" i="14" s="1"/>
  <c r="B2" i="14" s="1"/>
  <c r="A2" i="14" s="1"/>
  <c r="L11" i="1"/>
  <c r="P4" i="7"/>
  <c r="P8" i="7"/>
  <c r="P20" i="7"/>
  <c r="P24" i="7"/>
  <c r="P28" i="7"/>
  <c r="P12" i="7"/>
  <c r="P2" i="7"/>
  <c r="P16" i="7"/>
  <c r="P31" i="7"/>
  <c r="P27" i="7"/>
  <c r="P23" i="7"/>
  <c r="P19" i="7"/>
  <c r="P15" i="7"/>
  <c r="P11" i="7"/>
  <c r="P7" i="7"/>
  <c r="P3" i="7"/>
  <c r="P30" i="7"/>
  <c r="P26" i="7"/>
  <c r="P22" i="7"/>
  <c r="P18" i="7"/>
  <c r="P14" i="7"/>
  <c r="P10" i="7"/>
  <c r="P6" i="7"/>
  <c r="P29" i="7"/>
  <c r="P25" i="7"/>
  <c r="P21" i="7"/>
  <c r="P17" i="7"/>
  <c r="P13" i="7"/>
  <c r="P9" i="7"/>
  <c r="P5" i="7"/>
  <c r="AF38" i="6"/>
  <c r="AF34" i="6"/>
  <c r="AF26" i="6"/>
  <c r="AK26" i="6"/>
  <c r="AK18" i="6"/>
  <c r="AK14" i="6"/>
  <c r="AH32" i="6"/>
  <c r="AH24" i="6"/>
  <c r="AH20" i="6"/>
  <c r="AH16" i="6"/>
  <c r="AF32" i="6"/>
  <c r="AF24" i="6"/>
  <c r="AH37" i="6"/>
  <c r="AH33" i="6"/>
  <c r="AH29" i="6"/>
  <c r="AH25" i="6"/>
  <c r="AH21" i="6"/>
  <c r="AH17" i="6"/>
  <c r="AH13" i="6"/>
  <c r="AF37" i="6"/>
  <c r="AF33" i="6"/>
  <c r="AF29" i="6"/>
  <c r="AF25" i="6"/>
  <c r="AF17" i="6"/>
  <c r="AF13" i="6"/>
  <c r="M29" i="14"/>
  <c r="M25" i="14"/>
  <c r="M21" i="14"/>
  <c r="M17" i="14"/>
  <c r="M30" i="14"/>
  <c r="M26" i="14"/>
  <c r="M22" i="14"/>
  <c r="M18" i="14"/>
  <c r="M31" i="14"/>
  <c r="M27" i="14"/>
  <c r="M23" i="14"/>
  <c r="M19" i="14"/>
  <c r="M15" i="14"/>
  <c r="M28" i="14"/>
  <c r="M24" i="14"/>
  <c r="M20" i="14"/>
  <c r="M16" i="14"/>
  <c r="M14" i="14"/>
  <c r="M13" i="14"/>
  <c r="M12" i="14"/>
  <c r="M11" i="14"/>
  <c r="M10" i="14"/>
  <c r="M9" i="14"/>
  <c r="M8" i="14"/>
  <c r="M7" i="14"/>
  <c r="M6" i="14"/>
  <c r="M4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Q4" i="14"/>
  <c r="N31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M5" i="14"/>
  <c r="M3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Q5" i="14"/>
  <c r="Q3" i="14"/>
  <c r="R5" i="14"/>
  <c r="N5" i="14"/>
  <c r="R4" i="14"/>
  <c r="N4" i="14"/>
  <c r="R3" i="14"/>
  <c r="N3" i="14"/>
  <c r="S31" i="14"/>
  <c r="O31" i="14"/>
  <c r="S30" i="14"/>
  <c r="O30" i="14"/>
  <c r="S29" i="14"/>
  <c r="O29" i="14"/>
  <c r="S28" i="14"/>
  <c r="O28" i="14"/>
  <c r="S27" i="14"/>
  <c r="O27" i="14"/>
  <c r="S26" i="14"/>
  <c r="O26" i="14"/>
  <c r="S25" i="14"/>
  <c r="O25" i="14"/>
  <c r="S24" i="14"/>
  <c r="O24" i="14"/>
  <c r="S23" i="14"/>
  <c r="O23" i="14"/>
  <c r="S22" i="14"/>
  <c r="O22" i="14"/>
  <c r="S21" i="14"/>
  <c r="O21" i="14"/>
  <c r="S20" i="14"/>
  <c r="O20" i="14"/>
  <c r="S19" i="14"/>
  <c r="O19" i="14"/>
  <c r="S18" i="14"/>
  <c r="O18" i="14"/>
  <c r="S17" i="14"/>
  <c r="O17" i="14"/>
  <c r="S16" i="14"/>
  <c r="O16" i="14"/>
  <c r="S15" i="14"/>
  <c r="O15" i="14"/>
  <c r="S14" i="14"/>
  <c r="O14" i="14"/>
  <c r="S13" i="14"/>
  <c r="O13" i="14"/>
  <c r="S12" i="14"/>
  <c r="O12" i="14"/>
  <c r="S11" i="14"/>
  <c r="O11" i="14"/>
  <c r="S10" i="14"/>
  <c r="O10" i="14"/>
  <c r="S9" i="14"/>
  <c r="O9" i="14"/>
  <c r="S8" i="14"/>
  <c r="O8" i="14"/>
  <c r="S7" i="14"/>
  <c r="O7" i="14"/>
  <c r="S6" i="14"/>
  <c r="O6" i="14"/>
  <c r="S5" i="14"/>
  <c r="O5" i="14"/>
  <c r="S4" i="14"/>
  <c r="O4" i="14"/>
  <c r="S3" i="14"/>
  <c r="O3" i="14"/>
  <c r="T31" i="14"/>
  <c r="P31" i="14"/>
  <c r="T30" i="14"/>
  <c r="P30" i="14"/>
  <c r="T29" i="14"/>
  <c r="P29" i="14"/>
  <c r="T28" i="14"/>
  <c r="P28" i="14"/>
  <c r="T27" i="14"/>
  <c r="P27" i="14"/>
  <c r="T26" i="14"/>
  <c r="P26" i="14"/>
  <c r="T25" i="14"/>
  <c r="P25" i="14"/>
  <c r="T24" i="14"/>
  <c r="P24" i="14"/>
  <c r="T23" i="14"/>
  <c r="P23" i="14"/>
  <c r="T22" i="14"/>
  <c r="P22" i="14"/>
  <c r="T21" i="14"/>
  <c r="P21" i="14"/>
  <c r="T20" i="14"/>
  <c r="P20" i="14"/>
  <c r="T19" i="14"/>
  <c r="P19" i="14"/>
  <c r="T18" i="14"/>
  <c r="P18" i="14"/>
  <c r="T17" i="14"/>
  <c r="P17" i="14"/>
  <c r="T16" i="14"/>
  <c r="P16" i="14"/>
  <c r="T15" i="14"/>
  <c r="P15" i="14"/>
  <c r="T14" i="14"/>
  <c r="P14" i="14"/>
  <c r="T13" i="14"/>
  <c r="P13" i="14"/>
  <c r="T12" i="14"/>
  <c r="P12" i="14"/>
  <c r="T11" i="14"/>
  <c r="P11" i="14"/>
  <c r="T10" i="14"/>
  <c r="P10" i="14"/>
  <c r="T9" i="14"/>
  <c r="P9" i="14"/>
  <c r="T8" i="14"/>
  <c r="P8" i="14"/>
  <c r="T7" i="14"/>
  <c r="P7" i="14"/>
  <c r="T6" i="14"/>
  <c r="P6" i="14"/>
  <c r="T5" i="14"/>
  <c r="P5" i="14"/>
  <c r="T4" i="14"/>
  <c r="P4" i="14"/>
  <c r="T3" i="14"/>
  <c r="P3" i="14"/>
  <c r="D31" i="7"/>
  <c r="D10" i="7"/>
  <c r="AF10" i="6"/>
  <c r="AG33" i="6"/>
  <c r="AK12" i="6"/>
  <c r="C25" i="7"/>
  <c r="AG10" i="6"/>
  <c r="AH12" i="6"/>
  <c r="D18" i="7" l="1"/>
  <c r="C13" i="7"/>
  <c r="D5" i="7"/>
  <c r="C21" i="7"/>
  <c r="AE32" i="6"/>
  <c r="C17" i="7"/>
  <c r="D29" i="7"/>
  <c r="L32" i="10"/>
  <c r="L21" i="10"/>
  <c r="L25" i="10"/>
  <c r="K4" i="12"/>
  <c r="K4" i="9"/>
  <c r="L10" i="9"/>
  <c r="O43" i="14"/>
  <c r="L10" i="1"/>
  <c r="M10" i="1" s="1"/>
  <c r="AH23" i="6"/>
  <c r="AF31" i="6"/>
  <c r="AH31" i="6"/>
  <c r="AG13" i="6"/>
  <c r="AF23" i="6"/>
  <c r="AF39" i="6"/>
  <c r="AH39" i="6"/>
  <c r="AG21" i="6"/>
  <c r="AE24" i="6"/>
  <c r="C23" i="7"/>
  <c r="AG29" i="6"/>
  <c r="AG37" i="6"/>
  <c r="D7" i="7"/>
  <c r="AE16" i="6"/>
  <c r="AF19" i="6"/>
  <c r="AG26" i="6"/>
  <c r="AK38" i="6"/>
  <c r="AF30" i="6"/>
  <c r="AE13" i="6"/>
  <c r="AK30" i="6"/>
  <c r="AF22" i="6"/>
  <c r="D12" i="7"/>
  <c r="AK22" i="6"/>
  <c r="AE21" i="6"/>
  <c r="AG18" i="6"/>
  <c r="C28" i="7"/>
  <c r="AE37" i="6"/>
  <c r="B40" i="10"/>
  <c r="C24" i="7"/>
  <c r="J4" i="10"/>
  <c r="AK10" i="6"/>
  <c r="O49" i="14"/>
  <c r="N36" i="14"/>
  <c r="O41" i="14"/>
  <c r="N44" i="14"/>
  <c r="M33" i="14"/>
  <c r="R33" i="14"/>
  <c r="S33" i="14"/>
  <c r="T33" i="14"/>
  <c r="S2" i="14"/>
  <c r="P2" i="14"/>
  <c r="Q2" i="14"/>
  <c r="M2" i="14"/>
  <c r="T2" i="14"/>
  <c r="N2" i="14"/>
  <c r="O2" i="14"/>
  <c r="R2" i="14"/>
  <c r="D33" i="14"/>
  <c r="C33" i="14" s="1"/>
  <c r="B33" i="14" s="1"/>
  <c r="A33" i="14" s="1"/>
  <c r="G7" i="16"/>
  <c r="K7" i="16" s="1"/>
  <c r="G33" i="16"/>
  <c r="N33" i="16" s="1"/>
  <c r="N32" i="14"/>
  <c r="M32" i="16"/>
  <c r="AH27" i="6"/>
  <c r="AG36" i="6"/>
  <c r="AF27" i="6"/>
  <c r="AG12" i="6"/>
  <c r="AE39" i="6"/>
  <c r="AH35" i="6"/>
  <c r="AF35" i="6"/>
  <c r="AK34" i="6"/>
  <c r="C3" i="7"/>
  <c r="C27" i="7"/>
  <c r="A40" i="6"/>
  <c r="Z40" i="6"/>
  <c r="C9" i="7"/>
  <c r="AF18" i="6"/>
  <c r="AG20" i="6"/>
  <c r="D19" i="7"/>
  <c r="AE15" i="6"/>
  <c r="AH19" i="6"/>
  <c r="AG28" i="6"/>
  <c r="S39" i="14"/>
  <c r="R50" i="14"/>
  <c r="R42" i="14"/>
  <c r="K18" i="10"/>
  <c r="L18" i="10" s="1"/>
  <c r="S55" i="14"/>
  <c r="O47" i="14"/>
  <c r="I40" i="10"/>
  <c r="N31" i="12"/>
  <c r="S37" i="14"/>
  <c r="R40" i="14"/>
  <c r="O45" i="14"/>
  <c r="D37" i="14"/>
  <c r="C37" i="14" s="1"/>
  <c r="B37" i="14" s="1"/>
  <c r="A37" i="14" s="1"/>
  <c r="N56" i="14"/>
  <c r="G41" i="16"/>
  <c r="F41" i="16" s="1"/>
  <c r="E41" i="16" s="1"/>
  <c r="O53" i="14"/>
  <c r="R48" i="14"/>
  <c r="G36" i="16"/>
  <c r="N36" i="16" s="1"/>
  <c r="C2" i="7"/>
  <c r="S34" i="14"/>
  <c r="L30" i="10"/>
  <c r="L27" i="9"/>
  <c r="N27" i="9" s="1"/>
  <c r="R38" i="14"/>
  <c r="R52" i="14"/>
  <c r="S51" i="14"/>
  <c r="N46" i="14"/>
  <c r="K14" i="10"/>
  <c r="L14" i="10" s="1"/>
  <c r="N54" i="14"/>
  <c r="K22" i="10"/>
  <c r="L22" i="10" s="1"/>
  <c r="G38" i="16"/>
  <c r="N38" i="16" s="1"/>
  <c r="G18" i="16"/>
  <c r="L18" i="16" s="1"/>
  <c r="G42" i="16"/>
  <c r="K42" i="16" s="1"/>
  <c r="G49" i="16"/>
  <c r="J49" i="16" s="1"/>
  <c r="AE26" i="6"/>
  <c r="AH11" i="6"/>
  <c r="AE34" i="6"/>
  <c r="AH36" i="6"/>
  <c r="AF11" i="6"/>
  <c r="AE18" i="6"/>
  <c r="G44" i="16"/>
  <c r="N44" i="16" s="1"/>
  <c r="D46" i="14"/>
  <c r="C46" i="14" s="1"/>
  <c r="B46" i="14" s="1"/>
  <c r="A46" i="14" s="1"/>
  <c r="G46" i="16"/>
  <c r="N46" i="16" s="1"/>
  <c r="AF28" i="6"/>
  <c r="D16" i="7"/>
  <c r="D8" i="7"/>
  <c r="C6" i="7"/>
  <c r="AF20" i="6"/>
  <c r="AF36" i="6"/>
  <c r="AH28" i="6"/>
  <c r="D14" i="7"/>
  <c r="R58" i="14"/>
  <c r="S61" i="14"/>
  <c r="O56" i="14"/>
  <c r="O59" i="14"/>
  <c r="O57" i="14"/>
  <c r="AJ10" i="6"/>
  <c r="N23" i="12"/>
  <c r="N40" i="6"/>
  <c r="AG39" i="6"/>
  <c r="AI39" i="6"/>
  <c r="AG35" i="6"/>
  <c r="AI35" i="6"/>
  <c r="AG31" i="6"/>
  <c r="AI31" i="6"/>
  <c r="AG27" i="6"/>
  <c r="AI27" i="6"/>
  <c r="AG23" i="6"/>
  <c r="AI23" i="6"/>
  <c r="AG19" i="6"/>
  <c r="AI19" i="6"/>
  <c r="AG15" i="6"/>
  <c r="AI15" i="6"/>
  <c r="AJ11" i="6"/>
  <c r="AJ12" i="6"/>
  <c r="D61" i="14"/>
  <c r="C61" i="14" s="1"/>
  <c r="B61" i="14" s="1"/>
  <c r="A61" i="14" s="1"/>
  <c r="D60" i="14"/>
  <c r="C60" i="14" s="1"/>
  <c r="B60" i="14" s="1"/>
  <c r="A60" i="14" s="1"/>
  <c r="D59" i="14"/>
  <c r="C59" i="14" s="1"/>
  <c r="B59" i="14" s="1"/>
  <c r="A59" i="14" s="1"/>
  <c r="D58" i="14"/>
  <c r="C58" i="14" s="1"/>
  <c r="B58" i="14" s="1"/>
  <c r="A58" i="14" s="1"/>
  <c r="D57" i="14"/>
  <c r="C57" i="14" s="1"/>
  <c r="B57" i="14" s="1"/>
  <c r="A57" i="14" s="1"/>
  <c r="D56" i="14"/>
  <c r="C56" i="14" s="1"/>
  <c r="B56" i="14" s="1"/>
  <c r="A56" i="14" s="1"/>
  <c r="D54" i="14"/>
  <c r="C54" i="14" s="1"/>
  <c r="B54" i="14" s="1"/>
  <c r="A54" i="14" s="1"/>
  <c r="D53" i="14"/>
  <c r="C53" i="14" s="1"/>
  <c r="B53" i="14" s="1"/>
  <c r="A53" i="14" s="1"/>
  <c r="D51" i="14"/>
  <c r="C51" i="14" s="1"/>
  <c r="B51" i="14" s="1"/>
  <c r="A51" i="14" s="1"/>
  <c r="D50" i="14"/>
  <c r="C50" i="14" s="1"/>
  <c r="B50" i="14" s="1"/>
  <c r="A50" i="14" s="1"/>
  <c r="D49" i="14"/>
  <c r="C49" i="14" s="1"/>
  <c r="B49" i="14" s="1"/>
  <c r="A49" i="14" s="1"/>
  <c r="D48" i="14"/>
  <c r="C48" i="14" s="1"/>
  <c r="B48" i="14" s="1"/>
  <c r="A48" i="14" s="1"/>
  <c r="D47" i="14"/>
  <c r="C47" i="14" s="1"/>
  <c r="B47" i="14" s="1"/>
  <c r="A47" i="14" s="1"/>
  <c r="D45" i="14"/>
  <c r="C45" i="14" s="1"/>
  <c r="B45" i="14" s="1"/>
  <c r="A45" i="14" s="1"/>
  <c r="D44" i="14"/>
  <c r="C44" i="14" s="1"/>
  <c r="B44" i="14" s="1"/>
  <c r="A44" i="14" s="1"/>
  <c r="L12" i="16"/>
  <c r="D39" i="14"/>
  <c r="C39" i="14" s="1"/>
  <c r="B39" i="14" s="1"/>
  <c r="A39" i="14" s="1"/>
  <c r="D26" i="7"/>
  <c r="D15" i="7"/>
  <c r="C22" i="7"/>
  <c r="D34" i="14"/>
  <c r="C34" i="14" s="1"/>
  <c r="B34" i="14" s="1"/>
  <c r="A34" i="14" s="1"/>
  <c r="AK15" i="6"/>
  <c r="AH14" i="6"/>
  <c r="AK13" i="6"/>
  <c r="AK11" i="6"/>
  <c r="D36" i="14"/>
  <c r="C36" i="14" s="1"/>
  <c r="B36" i="14" s="1"/>
  <c r="A36" i="14" s="1"/>
  <c r="D35" i="14"/>
  <c r="C35" i="14" s="1"/>
  <c r="B35" i="14" s="1"/>
  <c r="A35" i="14" s="1"/>
  <c r="M34" i="14"/>
  <c r="G4" i="16"/>
  <c r="F4" i="16" s="1"/>
  <c r="E4" i="16" s="1"/>
  <c r="G34" i="16"/>
  <c r="M34" i="16" s="1"/>
  <c r="D30" i="7"/>
  <c r="C20" i="7"/>
  <c r="D4" i="7"/>
  <c r="K38" i="10"/>
  <c r="L38" i="10" s="1"/>
  <c r="D11" i="7"/>
  <c r="L30" i="9"/>
  <c r="N30" i="9" s="1"/>
  <c r="N60" i="14"/>
  <c r="K22" i="9"/>
  <c r="K12" i="9"/>
  <c r="N8" i="16"/>
  <c r="O8" i="16"/>
  <c r="K8" i="16"/>
  <c r="L8" i="16"/>
  <c r="F8" i="16"/>
  <c r="I8" i="16" s="1"/>
  <c r="B8" i="16" s="1"/>
  <c r="C8" i="16" s="1"/>
  <c r="D8" i="16" s="1"/>
  <c r="M8" i="16"/>
  <c r="F3" i="16"/>
  <c r="A3" i="16" s="1"/>
  <c r="N3" i="16"/>
  <c r="G28" i="16"/>
  <c r="J28" i="16" s="1"/>
  <c r="G20" i="16"/>
  <c r="N20" i="16" s="1"/>
  <c r="F19" i="16"/>
  <c r="A19" i="16" s="1"/>
  <c r="J19" i="16"/>
  <c r="N19" i="16"/>
  <c r="K19" i="16"/>
  <c r="G21" i="16"/>
  <c r="M21" i="16" s="1"/>
  <c r="D52" i="14"/>
  <c r="C52" i="14" s="1"/>
  <c r="B52" i="14" s="1"/>
  <c r="A52" i="14" s="1"/>
  <c r="G31" i="16"/>
  <c r="K31" i="16" s="1"/>
  <c r="G5" i="16"/>
  <c r="J5" i="16" s="1"/>
  <c r="G10" i="16"/>
  <c r="M10" i="16" s="1"/>
  <c r="G13" i="16"/>
  <c r="F13" i="16" s="1"/>
  <c r="E13" i="16" s="1"/>
  <c r="G50" i="16"/>
  <c r="O50" i="16" s="1"/>
  <c r="G23" i="16"/>
  <c r="M23" i="16" s="1"/>
  <c r="D55" i="14"/>
  <c r="C55" i="14" s="1"/>
  <c r="B55" i="14" s="1"/>
  <c r="A55" i="14" s="1"/>
  <c r="G52" i="16"/>
  <c r="M52" i="16" s="1"/>
  <c r="K28" i="9"/>
  <c r="G35" i="16"/>
  <c r="M35" i="16" s="1"/>
  <c r="G24" i="16"/>
  <c r="J24" i="16" s="1"/>
  <c r="G53" i="16"/>
  <c r="F53" i="16" s="1"/>
  <c r="G55" i="16"/>
  <c r="K55" i="16" s="1"/>
  <c r="K36" i="9"/>
  <c r="O19" i="16"/>
  <c r="P19" i="16" s="1"/>
  <c r="Q19" i="16" s="1"/>
  <c r="R19" i="16" s="1"/>
  <c r="H19" i="16" s="1"/>
  <c r="G9" i="16"/>
  <c r="O9" i="16" s="1"/>
  <c r="G54" i="16"/>
  <c r="N54" i="16" s="1"/>
  <c r="G15" i="16"/>
  <c r="J15" i="16" s="1"/>
  <c r="M19" i="16"/>
  <c r="G39" i="16"/>
  <c r="N39" i="16" s="1"/>
  <c r="G27" i="16"/>
  <c r="L27" i="16" s="1"/>
  <c r="G26" i="16"/>
  <c r="M26" i="16" s="1"/>
  <c r="G17" i="16"/>
  <c r="N17" i="16" s="1"/>
  <c r="G45" i="16"/>
  <c r="L45" i="16" s="1"/>
  <c r="G57" i="16"/>
  <c r="K57" i="16" s="1"/>
  <c r="G56" i="16"/>
  <c r="G47" i="16"/>
  <c r="M47" i="16" s="1"/>
  <c r="Q58" i="14"/>
  <c r="Q48" i="14"/>
  <c r="M60" i="14"/>
  <c r="K15" i="10"/>
  <c r="L15" i="10" s="1"/>
  <c r="K13" i="9"/>
  <c r="M36" i="14"/>
  <c r="F14" i="16"/>
  <c r="A14" i="16" s="1"/>
  <c r="Q42" i="14"/>
  <c r="L39" i="10"/>
  <c r="M52" i="14"/>
  <c r="M54" i="14"/>
  <c r="M14" i="16"/>
  <c r="L11" i="10"/>
  <c r="K38" i="9"/>
  <c r="K27" i="10"/>
  <c r="L27" i="10" s="1"/>
  <c r="Q56" i="14"/>
  <c r="N25" i="12"/>
  <c r="Q50" i="14"/>
  <c r="M44" i="14"/>
  <c r="M46" i="14"/>
  <c r="L14" i="16"/>
  <c r="K29" i="9"/>
  <c r="K14" i="16"/>
  <c r="K23" i="10"/>
  <c r="L23" i="10" s="1"/>
  <c r="N33" i="12"/>
  <c r="K21" i="9"/>
  <c r="Q40" i="14"/>
  <c r="M38" i="14"/>
  <c r="J14" i="16"/>
  <c r="N17" i="12"/>
  <c r="O14" i="16"/>
  <c r="P14" i="16" s="1"/>
  <c r="Q14" i="16" s="1"/>
  <c r="R14" i="16" s="1"/>
  <c r="H14" i="16" s="1"/>
  <c r="G29" i="16"/>
  <c r="M29" i="16" s="1"/>
  <c r="K26" i="10"/>
  <c r="L26" i="10" s="1"/>
  <c r="G58" i="16"/>
  <c r="M58" i="16" s="1"/>
  <c r="L35" i="9"/>
  <c r="N35" i="9" s="1"/>
  <c r="R53" i="14"/>
  <c r="N35" i="14"/>
  <c r="R55" i="14"/>
  <c r="R45" i="14"/>
  <c r="N51" i="14"/>
  <c r="K34" i="9"/>
  <c r="N49" i="14"/>
  <c r="R47" i="14"/>
  <c r="R59" i="14"/>
  <c r="N41" i="14"/>
  <c r="R61" i="14"/>
  <c r="N43" i="14"/>
  <c r="K18" i="9"/>
  <c r="R37" i="14"/>
  <c r="N57" i="14"/>
  <c r="R39" i="14"/>
  <c r="Q43" i="14"/>
  <c r="Q59" i="14"/>
  <c r="M49" i="14"/>
  <c r="Q37" i="14"/>
  <c r="K40" i="1"/>
  <c r="K40" i="12"/>
  <c r="M55" i="14"/>
  <c r="N13" i="12"/>
  <c r="Q45" i="14"/>
  <c r="M39" i="14"/>
  <c r="N37" i="12"/>
  <c r="Q53" i="14"/>
  <c r="Q61" i="14"/>
  <c r="M41" i="14"/>
  <c r="Q51" i="14"/>
  <c r="Q35" i="14"/>
  <c r="M47" i="14"/>
  <c r="M57" i="14"/>
  <c r="S52" i="14"/>
  <c r="N35" i="12"/>
  <c r="O54" i="14"/>
  <c r="S50" i="14"/>
  <c r="K48" i="16"/>
  <c r="O38" i="14"/>
  <c r="T34" i="14"/>
  <c r="O48" i="14"/>
  <c r="S60" i="14"/>
  <c r="O40" i="14"/>
  <c r="S36" i="14"/>
  <c r="O46" i="14"/>
  <c r="O48" i="16"/>
  <c r="S42" i="14"/>
  <c r="S58" i="14"/>
  <c r="S44" i="14"/>
  <c r="F48" i="16"/>
  <c r="A48" i="16" s="1"/>
  <c r="P48" i="16" s="1"/>
  <c r="F11" i="16"/>
  <c r="A11" i="16" s="1"/>
  <c r="L11" i="16"/>
  <c r="M48" i="16"/>
  <c r="N11" i="16"/>
  <c r="J11" i="16"/>
  <c r="N48" i="16"/>
  <c r="N35" i="1"/>
  <c r="N14" i="1"/>
  <c r="N28" i="1"/>
  <c r="K43" i="16"/>
  <c r="M40" i="16"/>
  <c r="O43" i="16"/>
  <c r="G30" i="16"/>
  <c r="K24" i="9"/>
  <c r="M51" i="16"/>
  <c r="N29" i="12"/>
  <c r="N24" i="1"/>
  <c r="N18" i="1"/>
  <c r="N21" i="12"/>
  <c r="N25" i="1"/>
  <c r="N23" i="1"/>
  <c r="M36" i="1"/>
  <c r="K32" i="9"/>
  <c r="F12" i="16"/>
  <c r="A12" i="16" s="1"/>
  <c r="K20" i="10"/>
  <c r="L20" i="10" s="1"/>
  <c r="J8" i="16"/>
  <c r="T52" i="14"/>
  <c r="K12" i="10"/>
  <c r="L12" i="10" s="1"/>
  <c r="T42" i="14"/>
  <c r="P56" i="14"/>
  <c r="K32" i="10"/>
  <c r="O12" i="16"/>
  <c r="T50" i="14"/>
  <c r="K16" i="10"/>
  <c r="L16" i="10" s="1"/>
  <c r="M12" i="16"/>
  <c r="P38" i="14"/>
  <c r="P40" i="14"/>
  <c r="P46" i="14"/>
  <c r="T58" i="14"/>
  <c r="T60" i="14"/>
  <c r="J12" i="16"/>
  <c r="P48" i="14"/>
  <c r="K15" i="9"/>
  <c r="K12" i="16"/>
  <c r="N12" i="16"/>
  <c r="P54" i="14"/>
  <c r="T36" i="14"/>
  <c r="T44" i="14"/>
  <c r="K23" i="9"/>
  <c r="L28" i="10"/>
  <c r="F6" i="16"/>
  <c r="A6" i="16" s="1"/>
  <c r="N16" i="1"/>
  <c r="N32" i="1"/>
  <c r="O51" i="16"/>
  <c r="K22" i="16"/>
  <c r="M22" i="16"/>
  <c r="J22" i="16"/>
  <c r="F22" i="16"/>
  <c r="A22" i="16" s="1"/>
  <c r="K51" i="16"/>
  <c r="G61" i="16"/>
  <c r="G59" i="16"/>
  <c r="G60" i="16"/>
  <c r="F51" i="16"/>
  <c r="A51" i="16" s="1"/>
  <c r="P51" i="16" s="1"/>
  <c r="L22" i="16"/>
  <c r="L37" i="16"/>
  <c r="J51" i="16"/>
  <c r="N22" i="16"/>
  <c r="N51" i="16"/>
  <c r="P45" i="14"/>
  <c r="L48" i="16"/>
  <c r="N13" i="1"/>
  <c r="K25" i="16"/>
  <c r="M25" i="16"/>
  <c r="F25" i="16"/>
  <c r="L25" i="16"/>
  <c r="J25" i="16"/>
  <c r="O25" i="16"/>
  <c r="P25" i="16" s="1"/>
  <c r="Q25" i="16" s="1"/>
  <c r="R25" i="16" s="1"/>
  <c r="H25" i="16" s="1"/>
  <c r="N25" i="16"/>
  <c r="K16" i="16"/>
  <c r="M16" i="16"/>
  <c r="N16" i="16"/>
  <c r="O16" i="16"/>
  <c r="P16" i="16" s="1"/>
  <c r="Q16" i="16" s="1"/>
  <c r="R16" i="16" s="1"/>
  <c r="H16" i="16" s="1"/>
  <c r="L16" i="16"/>
  <c r="J16" i="16"/>
  <c r="F16" i="16"/>
  <c r="M26" i="1"/>
  <c r="D32" i="14"/>
  <c r="C32" i="14" s="1"/>
  <c r="B32" i="14" s="1"/>
  <c r="A32" i="14" s="1"/>
  <c r="K40" i="16"/>
  <c r="G2" i="16"/>
  <c r="N39" i="1"/>
  <c r="N40" i="16"/>
  <c r="K39" i="9"/>
  <c r="M19" i="1"/>
  <c r="O40" i="16"/>
  <c r="F40" i="16"/>
  <c r="E40" i="16" s="1"/>
  <c r="J40" i="16"/>
  <c r="P37" i="14"/>
  <c r="N34" i="14"/>
  <c r="P35" i="14"/>
  <c r="T41" i="14"/>
  <c r="T39" i="14"/>
  <c r="N17" i="1"/>
  <c r="T47" i="14"/>
  <c r="N27" i="1"/>
  <c r="T49" i="14"/>
  <c r="K33" i="9"/>
  <c r="K25" i="9"/>
  <c r="K31" i="9"/>
  <c r="K37" i="9"/>
  <c r="T57" i="14"/>
  <c r="K17" i="9"/>
  <c r="L33" i="10"/>
  <c r="P51" i="14"/>
  <c r="L37" i="10"/>
  <c r="L29" i="10"/>
  <c r="T55" i="14"/>
  <c r="K10" i="9"/>
  <c r="N21" i="1"/>
  <c r="L16" i="9"/>
  <c r="N16" i="9" s="1"/>
  <c r="P59" i="14"/>
  <c r="K21" i="10"/>
  <c r="L10" i="10"/>
  <c r="L14" i="9"/>
  <c r="N14" i="9" s="1"/>
  <c r="L20" i="9"/>
  <c r="N20" i="9" s="1"/>
  <c r="L17" i="10"/>
  <c r="K25" i="10"/>
  <c r="L36" i="10"/>
  <c r="P53" i="14"/>
  <c r="K34" i="10"/>
  <c r="L34" i="10" s="1"/>
  <c r="K31" i="10"/>
  <c r="L31" i="10" s="1"/>
  <c r="L26" i="9"/>
  <c r="N26" i="9" s="1"/>
  <c r="K11" i="9"/>
  <c r="N11" i="9" s="1"/>
  <c r="K24" i="10"/>
  <c r="L24" i="10" s="1"/>
  <c r="K13" i="10"/>
  <c r="L13" i="10" s="1"/>
  <c r="P61" i="14"/>
  <c r="K19" i="9"/>
  <c r="K35" i="10"/>
  <c r="L35" i="10" s="1"/>
  <c r="K19" i="10"/>
  <c r="L19" i="10" s="1"/>
  <c r="N30" i="1"/>
  <c r="M12" i="1"/>
  <c r="N12" i="1" s="1"/>
  <c r="N37" i="1"/>
  <c r="N11" i="12"/>
  <c r="B41" i="1"/>
  <c r="M34" i="1"/>
  <c r="M20" i="1"/>
  <c r="M29" i="1"/>
  <c r="M15" i="1"/>
  <c r="N16" i="12"/>
  <c r="A40" i="10"/>
  <c r="M22" i="1"/>
  <c r="N24" i="12"/>
  <c r="N31" i="1"/>
  <c r="N38" i="1"/>
  <c r="N33" i="1"/>
  <c r="T43" i="14"/>
  <c r="L6" i="16"/>
  <c r="J37" i="16"/>
  <c r="D43" i="14"/>
  <c r="C43" i="14" s="1"/>
  <c r="B43" i="14" s="1"/>
  <c r="A43" i="14" s="1"/>
  <c r="D42" i="14"/>
  <c r="C42" i="14" s="1"/>
  <c r="B42" i="14" s="1"/>
  <c r="A42" i="14" s="1"/>
  <c r="D41" i="14"/>
  <c r="C41" i="14" s="1"/>
  <c r="B41" i="14" s="1"/>
  <c r="A41" i="14" s="1"/>
  <c r="D40" i="14"/>
  <c r="C40" i="14" s="1"/>
  <c r="B40" i="14" s="1"/>
  <c r="A40" i="14" s="1"/>
  <c r="M6" i="16"/>
  <c r="O6" i="16"/>
  <c r="N6" i="16"/>
  <c r="M11" i="1"/>
  <c r="N11" i="1" s="1"/>
  <c r="K6" i="16"/>
  <c r="N36" i="12"/>
  <c r="M39" i="12"/>
  <c r="N19" i="12"/>
  <c r="N27" i="12"/>
  <c r="N15" i="12"/>
  <c r="AH10" i="6"/>
  <c r="F32" i="16"/>
  <c r="I32" i="16" s="1"/>
  <c r="B32" i="16" s="1"/>
  <c r="L32" i="16"/>
  <c r="J32" i="16"/>
  <c r="D38" i="14"/>
  <c r="C38" i="14" s="1"/>
  <c r="B38" i="14" s="1"/>
  <c r="A38" i="14" s="1"/>
  <c r="M11" i="16"/>
  <c r="B41" i="12"/>
  <c r="N37" i="16"/>
  <c r="K32" i="16"/>
  <c r="O32" i="16"/>
  <c r="M43" i="16"/>
  <c r="J43" i="16"/>
  <c r="F37" i="16"/>
  <c r="M37" i="16"/>
  <c r="N10" i="12"/>
  <c r="N43" i="16"/>
  <c r="K37" i="16"/>
  <c r="N32" i="16"/>
  <c r="F43" i="16"/>
  <c r="K11" i="16"/>
  <c r="O3" i="16"/>
  <c r="P3" i="16" s="1"/>
  <c r="Q3" i="16" s="1"/>
  <c r="R3" i="16" s="1"/>
  <c r="H3" i="16" s="1"/>
  <c r="AF21" i="6"/>
  <c r="AF16" i="6"/>
  <c r="AF15" i="6"/>
  <c r="N18" i="12"/>
  <c r="M28" i="12"/>
  <c r="N32" i="12"/>
  <c r="N38" i="12"/>
  <c r="M12" i="12"/>
  <c r="N12" i="12" s="1"/>
  <c r="M34" i="12"/>
  <c r="M30" i="12"/>
  <c r="M26" i="12"/>
  <c r="M22" i="12"/>
  <c r="N20" i="12"/>
  <c r="N14" i="12"/>
  <c r="N10" i="9" l="1"/>
  <c r="N40" i="9" s="1"/>
  <c r="N10" i="1"/>
  <c r="N40" i="1" s="1"/>
  <c r="A41" i="10"/>
  <c r="L3" i="16"/>
  <c r="K3" i="16"/>
  <c r="N33" i="14"/>
  <c r="F33" i="16"/>
  <c r="E33" i="16" s="1"/>
  <c r="L7" i="16"/>
  <c r="A41" i="16"/>
  <c r="P41" i="16" s="1"/>
  <c r="O33" i="16"/>
  <c r="M3" i="16"/>
  <c r="J3" i="16"/>
  <c r="O33" i="14"/>
  <c r="P33" i="14"/>
  <c r="M7" i="16"/>
  <c r="O7" i="16"/>
  <c r="P7" i="16" s="1"/>
  <c r="Q7" i="16" s="1"/>
  <c r="R7" i="16" s="1"/>
  <c r="H7" i="16" s="1"/>
  <c r="J7" i="16"/>
  <c r="F7" i="16"/>
  <c r="I7" i="16" s="1"/>
  <c r="B7" i="16" s="1"/>
  <c r="C7" i="16" s="1"/>
  <c r="D7" i="16" s="1"/>
  <c r="N7" i="16"/>
  <c r="Q33" i="14"/>
  <c r="L33" i="16"/>
  <c r="M33" i="16"/>
  <c r="K33" i="16"/>
  <c r="J33" i="16"/>
  <c r="N9" i="16"/>
  <c r="J52" i="16"/>
  <c r="R32" i="14"/>
  <c r="N41" i="16"/>
  <c r="M9" i="16"/>
  <c r="M55" i="16"/>
  <c r="I41" i="16"/>
  <c r="B41" i="16" s="1"/>
  <c r="D41" i="16" s="1"/>
  <c r="L54" i="16"/>
  <c r="F31" i="16"/>
  <c r="A31" i="16" s="1"/>
  <c r="J54" i="16"/>
  <c r="K54" i="16"/>
  <c r="L41" i="16"/>
  <c r="F54" i="16"/>
  <c r="A54" i="16" s="1"/>
  <c r="P54" i="16" s="1"/>
  <c r="O13" i="16"/>
  <c r="P13" i="16" s="1"/>
  <c r="Q13" i="16" s="1"/>
  <c r="R13" i="16" s="1"/>
  <c r="H13" i="16" s="1"/>
  <c r="K36" i="16"/>
  <c r="I14" i="16"/>
  <c r="B14" i="16" s="1"/>
  <c r="C14" i="16" s="1"/>
  <c r="D14" i="16" s="1"/>
  <c r="I13" i="16"/>
  <c r="B13" i="16" s="1"/>
  <c r="C13" i="16" s="1"/>
  <c r="D13" i="16" s="1"/>
  <c r="M13" i="16"/>
  <c r="A13" i="16"/>
  <c r="J21" i="16"/>
  <c r="K38" i="16"/>
  <c r="M38" i="16"/>
  <c r="M41" i="16"/>
  <c r="J50" i="16"/>
  <c r="L38" i="16"/>
  <c r="O41" i="16"/>
  <c r="O38" i="16"/>
  <c r="L26" i="16"/>
  <c r="O26" i="16"/>
  <c r="P26" i="16" s="1"/>
  <c r="Q26" i="16" s="1"/>
  <c r="R26" i="16" s="1"/>
  <c r="H26" i="16" s="1"/>
  <c r="K41" i="16"/>
  <c r="K58" i="16"/>
  <c r="N26" i="16"/>
  <c r="F17" i="16"/>
  <c r="I17" i="16" s="1"/>
  <c r="B17" i="16" s="1"/>
  <c r="C17" i="16" s="1"/>
  <c r="D17" i="16" s="1"/>
  <c r="J26" i="16"/>
  <c r="F38" i="16"/>
  <c r="A38" i="16" s="1"/>
  <c r="P38" i="16" s="1"/>
  <c r="F26" i="16"/>
  <c r="I26" i="16" s="1"/>
  <c r="B26" i="16" s="1"/>
  <c r="C26" i="16" s="1"/>
  <c r="D26" i="16" s="1"/>
  <c r="J41" i="16"/>
  <c r="N31" i="16"/>
  <c r="O46" i="16"/>
  <c r="J17" i="16"/>
  <c r="O17" i="16"/>
  <c r="P17" i="16" s="1"/>
  <c r="Q17" i="16" s="1"/>
  <c r="R17" i="16" s="1"/>
  <c r="H17" i="16" s="1"/>
  <c r="K9" i="16"/>
  <c r="F52" i="16"/>
  <c r="A52" i="16" s="1"/>
  <c r="Q52" i="16" s="1"/>
  <c r="R52" i="16" s="1"/>
  <c r="H52" i="16" s="1"/>
  <c r="L17" i="16"/>
  <c r="L9" i="16"/>
  <c r="M54" i="16"/>
  <c r="F9" i="16"/>
  <c r="I9" i="16" s="1"/>
  <c r="B9" i="16" s="1"/>
  <c r="C9" i="16" s="1"/>
  <c r="D9" i="16" s="1"/>
  <c r="J38" i="16"/>
  <c r="F44" i="16"/>
  <c r="A44" i="16" s="1"/>
  <c r="Q44" i="16" s="1"/>
  <c r="R44" i="16" s="1"/>
  <c r="H44" i="16" s="1"/>
  <c r="K18" i="16"/>
  <c r="L44" i="16"/>
  <c r="O18" i="16"/>
  <c r="P18" i="16" s="1"/>
  <c r="Q18" i="16" s="1"/>
  <c r="R18" i="16" s="1"/>
  <c r="H18" i="16" s="1"/>
  <c r="F21" i="16"/>
  <c r="E21" i="16" s="1"/>
  <c r="K21" i="16"/>
  <c r="N21" i="16"/>
  <c r="O21" i="16"/>
  <c r="P21" i="16" s="1"/>
  <c r="Q21" i="16" s="1"/>
  <c r="R21" i="16" s="1"/>
  <c r="H21" i="16" s="1"/>
  <c r="L50" i="16"/>
  <c r="K44" i="16"/>
  <c r="F50" i="16"/>
  <c r="A50" i="16" s="1"/>
  <c r="Q50" i="16" s="1"/>
  <c r="R50" i="16" s="1"/>
  <c r="H50" i="16" s="1"/>
  <c r="M18" i="16"/>
  <c r="K50" i="16"/>
  <c r="L28" i="16"/>
  <c r="M28" i="16"/>
  <c r="J18" i="16"/>
  <c r="N18" i="16"/>
  <c r="L21" i="16"/>
  <c r="N42" i="16"/>
  <c r="N50" i="16"/>
  <c r="F18" i="16"/>
  <c r="A18" i="16" s="1"/>
  <c r="J36" i="16"/>
  <c r="F36" i="16"/>
  <c r="A36" i="16" s="1"/>
  <c r="Q36" i="16" s="1"/>
  <c r="R36" i="16" s="1"/>
  <c r="H36" i="16" s="1"/>
  <c r="M44" i="16"/>
  <c r="M42" i="16"/>
  <c r="M36" i="16"/>
  <c r="O44" i="16"/>
  <c r="L36" i="16"/>
  <c r="J42" i="16"/>
  <c r="F42" i="16"/>
  <c r="A42" i="16" s="1"/>
  <c r="Q42" i="16" s="1"/>
  <c r="R42" i="16" s="1"/>
  <c r="H42" i="16" s="1"/>
  <c r="L42" i="16"/>
  <c r="O36" i="16"/>
  <c r="J44" i="16"/>
  <c r="O42" i="16"/>
  <c r="A8" i="16"/>
  <c r="M49" i="16"/>
  <c r="J46" i="16"/>
  <c r="L49" i="16"/>
  <c r="E8" i="16"/>
  <c r="K46" i="16"/>
  <c r="F46" i="16"/>
  <c r="E46" i="16" s="1"/>
  <c r="L46" i="16"/>
  <c r="M46" i="16"/>
  <c r="N53" i="16"/>
  <c r="L10" i="16"/>
  <c r="O55" i="16"/>
  <c r="O31" i="16"/>
  <c r="P31" i="16" s="1"/>
  <c r="Q31" i="16" s="1"/>
  <c r="R31" i="16" s="1"/>
  <c r="H31" i="16" s="1"/>
  <c r="J31" i="16"/>
  <c r="J27" i="16"/>
  <c r="J55" i="16"/>
  <c r="N52" i="16"/>
  <c r="K52" i="16"/>
  <c r="O10" i="16"/>
  <c r="P10" i="16" s="1"/>
  <c r="Q10" i="16" s="1"/>
  <c r="R10" i="16" s="1"/>
  <c r="H10" i="16" s="1"/>
  <c r="M31" i="16"/>
  <c r="J10" i="16"/>
  <c r="F10" i="16"/>
  <c r="A10" i="16" s="1"/>
  <c r="F55" i="16"/>
  <c r="A55" i="16" s="1"/>
  <c r="L55" i="16"/>
  <c r="N55" i="16"/>
  <c r="N10" i="16"/>
  <c r="O52" i="16"/>
  <c r="E14" i="16"/>
  <c r="J53" i="16"/>
  <c r="K27" i="16"/>
  <c r="N49" i="16"/>
  <c r="O49" i="16"/>
  <c r="K49" i="16"/>
  <c r="F49" i="16"/>
  <c r="A49" i="16" s="1"/>
  <c r="M39" i="16"/>
  <c r="K47" i="16"/>
  <c r="N29" i="16"/>
  <c r="Q51" i="16"/>
  <c r="R51" i="16" s="1"/>
  <c r="H51" i="16" s="1"/>
  <c r="F29" i="16"/>
  <c r="A29" i="16" s="1"/>
  <c r="O29" i="16"/>
  <c r="P29" i="16" s="1"/>
  <c r="Q29" i="16" s="1"/>
  <c r="R29" i="16" s="1"/>
  <c r="H29" i="16" s="1"/>
  <c r="J29" i="16"/>
  <c r="J39" i="16"/>
  <c r="N23" i="16"/>
  <c r="J20" i="16"/>
  <c r="K10" i="16"/>
  <c r="J9" i="16"/>
  <c r="A4" i="16"/>
  <c r="I4" i="16"/>
  <c r="B4" i="16" s="1"/>
  <c r="C4" i="16" s="1"/>
  <c r="D4" i="16" s="1"/>
  <c r="Q48" i="16"/>
  <c r="R48" i="16" s="1"/>
  <c r="H48" i="16" s="1"/>
  <c r="L47" i="16"/>
  <c r="M17" i="16"/>
  <c r="K17" i="16"/>
  <c r="M45" i="16"/>
  <c r="F15" i="16"/>
  <c r="A15" i="16" s="1"/>
  <c r="K13" i="16"/>
  <c r="L13" i="16"/>
  <c r="J13" i="16"/>
  <c r="N13" i="16"/>
  <c r="P9" i="16"/>
  <c r="Q9" i="16" s="1"/>
  <c r="R9" i="16" s="1"/>
  <c r="H9" i="16" s="1"/>
  <c r="M4" i="16"/>
  <c r="K4" i="16"/>
  <c r="N4" i="16"/>
  <c r="L4" i="16"/>
  <c r="J4" i="16"/>
  <c r="O4" i="16"/>
  <c r="P4" i="16" s="1"/>
  <c r="Q4" i="16" s="1"/>
  <c r="R4" i="16" s="1"/>
  <c r="H4" i="16" s="1"/>
  <c r="O39" i="16"/>
  <c r="I11" i="16"/>
  <c r="B11" i="16" s="1"/>
  <c r="C11" i="16" s="1"/>
  <c r="D11" i="16" s="1"/>
  <c r="J35" i="16"/>
  <c r="J47" i="16"/>
  <c r="L15" i="16"/>
  <c r="K15" i="16"/>
  <c r="N45" i="16"/>
  <c r="F45" i="16"/>
  <c r="I45" i="16" s="1"/>
  <c r="B45" i="16" s="1"/>
  <c r="C45" i="16" s="1"/>
  <c r="L39" i="16"/>
  <c r="K39" i="16"/>
  <c r="O23" i="16"/>
  <c r="P23" i="16" s="1"/>
  <c r="Q23" i="16" s="1"/>
  <c r="R23" i="16" s="1"/>
  <c r="H23" i="16" s="1"/>
  <c r="J23" i="16"/>
  <c r="O20" i="16"/>
  <c r="P20" i="16" s="1"/>
  <c r="Q20" i="16" s="1"/>
  <c r="R20" i="16" s="1"/>
  <c r="H20" i="16" s="1"/>
  <c r="L20" i="16"/>
  <c r="E11" i="16"/>
  <c r="F47" i="16"/>
  <c r="I47" i="16" s="1"/>
  <c r="B47" i="16" s="1"/>
  <c r="N15" i="16"/>
  <c r="F39" i="16"/>
  <c r="A39" i="16" s="1"/>
  <c r="K45" i="16"/>
  <c r="K23" i="16"/>
  <c r="F23" i="16"/>
  <c r="A23" i="16" s="1"/>
  <c r="L5" i="16"/>
  <c r="F35" i="16"/>
  <c r="A35" i="16" s="1"/>
  <c r="Q35" i="16" s="1"/>
  <c r="R35" i="16" s="1"/>
  <c r="H35" i="16" s="1"/>
  <c r="M5" i="16"/>
  <c r="L35" i="16"/>
  <c r="O47" i="16"/>
  <c r="N47" i="16"/>
  <c r="O15" i="16"/>
  <c r="P15" i="16" s="1"/>
  <c r="Q15" i="16" s="1"/>
  <c r="R15" i="16" s="1"/>
  <c r="H15" i="16" s="1"/>
  <c r="O45" i="16"/>
  <c r="J45" i="16"/>
  <c r="L23" i="16"/>
  <c r="F20" i="16"/>
  <c r="A20" i="16" s="1"/>
  <c r="A53" i="16"/>
  <c r="E53" i="16"/>
  <c r="I53" i="16"/>
  <c r="B53" i="16" s="1"/>
  <c r="C53" i="16" s="1"/>
  <c r="K26" i="16"/>
  <c r="K53" i="16"/>
  <c r="L53" i="16"/>
  <c r="P11" i="16"/>
  <c r="Q11" i="16" s="1"/>
  <c r="R11" i="16" s="1"/>
  <c r="H11" i="16" s="1"/>
  <c r="P8" i="16"/>
  <c r="Q8" i="16" s="1"/>
  <c r="R8" i="16" s="1"/>
  <c r="H8" i="16" s="1"/>
  <c r="P22" i="16"/>
  <c r="Q22" i="16" s="1"/>
  <c r="R22" i="16" s="1"/>
  <c r="H22" i="16" s="1"/>
  <c r="P12" i="16"/>
  <c r="Q12" i="16" s="1"/>
  <c r="R12" i="16" s="1"/>
  <c r="H12" i="16" s="1"/>
  <c r="E3" i="16"/>
  <c r="P6" i="16"/>
  <c r="Q6" i="16" s="1"/>
  <c r="R6" i="16" s="1"/>
  <c r="H6" i="16" s="1"/>
  <c r="F34" i="16"/>
  <c r="L34" i="16"/>
  <c r="O34" i="16"/>
  <c r="J34" i="16"/>
  <c r="K34" i="16"/>
  <c r="N34" i="16"/>
  <c r="N5" i="16"/>
  <c r="F5" i="16"/>
  <c r="N35" i="16"/>
  <c r="K5" i="16"/>
  <c r="O5" i="16"/>
  <c r="P5" i="16" s="1"/>
  <c r="Q5" i="16" s="1"/>
  <c r="R5" i="16" s="1"/>
  <c r="H5" i="16" s="1"/>
  <c r="K35" i="16"/>
  <c r="I3" i="16"/>
  <c r="B3" i="16" s="1"/>
  <c r="C3" i="16" s="1"/>
  <c r="D3" i="16" s="1"/>
  <c r="L2" i="16"/>
  <c r="M50" i="16"/>
  <c r="O35" i="16"/>
  <c r="K29" i="16"/>
  <c r="L31" i="16"/>
  <c r="O54" i="16"/>
  <c r="N28" i="16"/>
  <c r="F28" i="16"/>
  <c r="L29" i="16"/>
  <c r="K24" i="16"/>
  <c r="O24" i="16"/>
  <c r="P24" i="16" s="1"/>
  <c r="Q24" i="16" s="1"/>
  <c r="R24" i="16" s="1"/>
  <c r="H24" i="16" s="1"/>
  <c r="O28" i="16"/>
  <c r="P28" i="16" s="1"/>
  <c r="Q28" i="16" s="1"/>
  <c r="R28" i="16" s="1"/>
  <c r="H28" i="16" s="1"/>
  <c r="K28" i="16"/>
  <c r="I48" i="16"/>
  <c r="B48" i="16" s="1"/>
  <c r="D48" i="16" s="1"/>
  <c r="O58" i="16"/>
  <c r="M24" i="16"/>
  <c r="E19" i="16"/>
  <c r="N24" i="16"/>
  <c r="F24" i="16"/>
  <c r="E48" i="16"/>
  <c r="L58" i="16"/>
  <c r="N58" i="16"/>
  <c r="L24" i="16"/>
  <c r="I19" i="16"/>
  <c r="B19" i="16" s="1"/>
  <c r="C19" i="16" s="1"/>
  <c r="D19" i="16" s="1"/>
  <c r="F58" i="16"/>
  <c r="A58" i="16" s="1"/>
  <c r="P58" i="16" s="1"/>
  <c r="J58" i="16"/>
  <c r="M15" i="16"/>
  <c r="F27" i="16"/>
  <c r="A27" i="16" s="1"/>
  <c r="E12" i="16"/>
  <c r="L52" i="16"/>
  <c r="O27" i="16"/>
  <c r="P27" i="16" s="1"/>
  <c r="Q27" i="16" s="1"/>
  <c r="R27" i="16" s="1"/>
  <c r="H27" i="16" s="1"/>
  <c r="M27" i="16"/>
  <c r="N27" i="16"/>
  <c r="M20" i="16"/>
  <c r="K20" i="16"/>
  <c r="O57" i="16"/>
  <c r="N57" i="16"/>
  <c r="F57" i="16"/>
  <c r="M57" i="16"/>
  <c r="L57" i="16"/>
  <c r="J57" i="16"/>
  <c r="O53" i="16"/>
  <c r="M53" i="16"/>
  <c r="M56" i="16"/>
  <c r="O56" i="16"/>
  <c r="L56" i="16"/>
  <c r="J56" i="16"/>
  <c r="F56" i="16"/>
  <c r="K56" i="16"/>
  <c r="N56" i="16"/>
  <c r="O32" i="14"/>
  <c r="S32" i="14"/>
  <c r="P32" i="14"/>
  <c r="T32" i="14"/>
  <c r="M32" i="14"/>
  <c r="Q32" i="14"/>
  <c r="E51" i="16"/>
  <c r="E6" i="16"/>
  <c r="I6" i="16"/>
  <c r="B6" i="16" s="1"/>
  <c r="C6" i="16" s="1"/>
  <c r="D6" i="16" s="1"/>
  <c r="I22" i="16"/>
  <c r="B22" i="16" s="1"/>
  <c r="C22" i="16" s="1"/>
  <c r="D22" i="16" s="1"/>
  <c r="I51" i="16"/>
  <c r="B51" i="16" s="1"/>
  <c r="D51" i="16" s="1"/>
  <c r="J30" i="16"/>
  <c r="L30" i="16"/>
  <c r="N30" i="16"/>
  <c r="O30" i="16"/>
  <c r="P30" i="16" s="1"/>
  <c r="Q30" i="16" s="1"/>
  <c r="R30" i="16" s="1"/>
  <c r="H30" i="16" s="1"/>
  <c r="M30" i="16"/>
  <c r="F30" i="16"/>
  <c r="K30" i="16"/>
  <c r="E22" i="16"/>
  <c r="I12" i="16"/>
  <c r="B12" i="16" s="1"/>
  <c r="C12" i="16" s="1"/>
  <c r="D12" i="16" s="1"/>
  <c r="J2" i="16"/>
  <c r="M2" i="16"/>
  <c r="K2" i="16"/>
  <c r="F59" i="16"/>
  <c r="M59" i="16"/>
  <c r="O59" i="16"/>
  <c r="K59" i="16"/>
  <c r="J59" i="16"/>
  <c r="N59" i="16"/>
  <c r="L59" i="16"/>
  <c r="L60" i="16"/>
  <c r="K60" i="16"/>
  <c r="M60" i="16"/>
  <c r="N60" i="16"/>
  <c r="O60" i="16"/>
  <c r="J60" i="16"/>
  <c r="F60" i="16"/>
  <c r="F61" i="16"/>
  <c r="M61" i="16"/>
  <c r="N61" i="16"/>
  <c r="L61" i="16"/>
  <c r="K61" i="16"/>
  <c r="J61" i="16"/>
  <c r="O61" i="16"/>
  <c r="A25" i="16"/>
  <c r="E25" i="16"/>
  <c r="I25" i="16"/>
  <c r="B25" i="16" s="1"/>
  <c r="C25" i="16" s="1"/>
  <c r="D25" i="16" s="1"/>
  <c r="A16" i="16"/>
  <c r="E16" i="16"/>
  <c r="I16" i="16"/>
  <c r="B16" i="16" s="1"/>
  <c r="C16" i="16" s="1"/>
  <c r="D16" i="16" s="1"/>
  <c r="A40" i="16"/>
  <c r="I40" i="16"/>
  <c r="B40" i="16" s="1"/>
  <c r="F2" i="16"/>
  <c r="N2" i="16"/>
  <c r="O2" i="16"/>
  <c r="P2" i="16" s="1"/>
  <c r="Q2" i="16" s="1"/>
  <c r="R2" i="16" s="1"/>
  <c r="H2" i="16" s="1"/>
  <c r="L40" i="10"/>
  <c r="A32" i="16"/>
  <c r="P32" i="16" s="1"/>
  <c r="E32" i="16"/>
  <c r="A43" i="16"/>
  <c r="E43" i="16"/>
  <c r="I43" i="16"/>
  <c r="B43" i="16" s="1"/>
  <c r="C32" i="16"/>
  <c r="D32" i="16"/>
  <c r="N40" i="12"/>
  <c r="I37" i="16"/>
  <c r="B37" i="16" s="1"/>
  <c r="A37" i="16"/>
  <c r="E37" i="16"/>
  <c r="A33" i="16" l="1"/>
  <c r="P33" i="16" s="1"/>
  <c r="I33" i="16"/>
  <c r="B33" i="16" s="1"/>
  <c r="C33" i="16" s="1"/>
  <c r="Q41" i="16"/>
  <c r="R41" i="16" s="1"/>
  <c r="H41" i="16" s="1"/>
  <c r="A7" i="16"/>
  <c r="C41" i="16"/>
  <c r="E7" i="16"/>
  <c r="I31" i="16"/>
  <c r="B31" i="16" s="1"/>
  <c r="C31" i="16" s="1"/>
  <c r="D31" i="16" s="1"/>
  <c r="E31" i="16"/>
  <c r="E17" i="16"/>
  <c r="I50" i="16"/>
  <c r="B50" i="16" s="1"/>
  <c r="C50" i="16" s="1"/>
  <c r="E50" i="16"/>
  <c r="P52" i="16"/>
  <c r="P42" i="16"/>
  <c r="Q54" i="16"/>
  <c r="R54" i="16" s="1"/>
  <c r="H54" i="16" s="1"/>
  <c r="E54" i="16"/>
  <c r="I54" i="16"/>
  <c r="B54" i="16" s="1"/>
  <c r="C54" i="16" s="1"/>
  <c r="I21" i="16"/>
  <c r="B21" i="16" s="1"/>
  <c r="C21" i="16" s="1"/>
  <c r="D21" i="16" s="1"/>
  <c r="I55" i="16"/>
  <c r="B55" i="16" s="1"/>
  <c r="D55" i="16" s="1"/>
  <c r="I46" i="16"/>
  <c r="B46" i="16" s="1"/>
  <c r="D46" i="16" s="1"/>
  <c r="A46" i="16"/>
  <c r="Q46" i="16" s="1"/>
  <c r="R46" i="16" s="1"/>
  <c r="H46" i="16" s="1"/>
  <c r="A17" i="16"/>
  <c r="E18" i="16"/>
  <c r="E29" i="16"/>
  <c r="A21" i="16"/>
  <c r="I29" i="16"/>
  <c r="B29" i="16" s="1"/>
  <c r="C29" i="16" s="1"/>
  <c r="D29" i="16" s="1"/>
  <c r="E42" i="16"/>
  <c r="P50" i="16"/>
  <c r="Q38" i="16"/>
  <c r="R38" i="16" s="1"/>
  <c r="H38" i="16" s="1"/>
  <c r="E52" i="16"/>
  <c r="I38" i="16"/>
  <c r="B38" i="16" s="1"/>
  <c r="D38" i="16" s="1"/>
  <c r="A26" i="16"/>
  <c r="E38" i="16"/>
  <c r="I18" i="16"/>
  <c r="B18" i="16" s="1"/>
  <c r="C18" i="16" s="1"/>
  <c r="D18" i="16" s="1"/>
  <c r="I52" i="16"/>
  <c r="B52" i="16" s="1"/>
  <c r="D52" i="16" s="1"/>
  <c r="E26" i="16"/>
  <c r="E36" i="16"/>
  <c r="I44" i="16"/>
  <c r="B44" i="16" s="1"/>
  <c r="E44" i="16"/>
  <c r="A9" i="16"/>
  <c r="E55" i="16"/>
  <c r="E23" i="16"/>
  <c r="I36" i="16"/>
  <c r="B36" i="16" s="1"/>
  <c r="D36" i="16" s="1"/>
  <c r="E9" i="16"/>
  <c r="I42" i="16"/>
  <c r="B42" i="16" s="1"/>
  <c r="D42" i="16" s="1"/>
  <c r="P36" i="16"/>
  <c r="P44" i="16"/>
  <c r="E20" i="16"/>
  <c r="E10" i="16"/>
  <c r="I10" i="16"/>
  <c r="B10" i="16" s="1"/>
  <c r="C10" i="16" s="1"/>
  <c r="D10" i="16" s="1"/>
  <c r="A47" i="16"/>
  <c r="Q47" i="16" s="1"/>
  <c r="R47" i="16" s="1"/>
  <c r="H47" i="16" s="1"/>
  <c r="I49" i="16"/>
  <c r="B49" i="16" s="1"/>
  <c r="C49" i="16" s="1"/>
  <c r="E49" i="16"/>
  <c r="Q49" i="16"/>
  <c r="R49" i="16" s="1"/>
  <c r="H49" i="16" s="1"/>
  <c r="P49" i="16"/>
  <c r="E47" i="16"/>
  <c r="I20" i="16"/>
  <c r="B20" i="16" s="1"/>
  <c r="C20" i="16" s="1"/>
  <c r="D20" i="16" s="1"/>
  <c r="E15" i="16"/>
  <c r="I15" i="16"/>
  <c r="B15" i="16" s="1"/>
  <c r="C15" i="16" s="1"/>
  <c r="D15" i="16" s="1"/>
  <c r="A45" i="16"/>
  <c r="P45" i="16" s="1"/>
  <c r="D45" i="16"/>
  <c r="I23" i="16"/>
  <c r="B23" i="16" s="1"/>
  <c r="C23" i="16" s="1"/>
  <c r="D23" i="16" s="1"/>
  <c r="I39" i="16"/>
  <c r="B39" i="16" s="1"/>
  <c r="C39" i="16" s="1"/>
  <c r="E45" i="16"/>
  <c r="E39" i="16"/>
  <c r="E35" i="16"/>
  <c r="C48" i="16"/>
  <c r="D53" i="16"/>
  <c r="E58" i="16"/>
  <c r="I35" i="16"/>
  <c r="B35" i="16" s="1"/>
  <c r="D35" i="16" s="1"/>
  <c r="P39" i="16"/>
  <c r="Q39" i="16"/>
  <c r="R39" i="16" s="1"/>
  <c r="H39" i="16" s="1"/>
  <c r="P35" i="16"/>
  <c r="P53" i="16"/>
  <c r="Q53" i="16"/>
  <c r="R53" i="16" s="1"/>
  <c r="H53" i="16" s="1"/>
  <c r="Q58" i="16"/>
  <c r="R58" i="16" s="1"/>
  <c r="H58" i="16" s="1"/>
  <c r="I58" i="16"/>
  <c r="B58" i="16" s="1"/>
  <c r="C58" i="16" s="1"/>
  <c r="A34" i="16"/>
  <c r="E34" i="16"/>
  <c r="I34" i="16"/>
  <c r="B34" i="16" s="1"/>
  <c r="I5" i="16"/>
  <c r="B5" i="16" s="1"/>
  <c r="C5" i="16" s="1"/>
  <c r="D5" i="16" s="1"/>
  <c r="E5" i="16"/>
  <c r="A5" i="16"/>
  <c r="A28" i="16"/>
  <c r="I28" i="16"/>
  <c r="B28" i="16" s="1"/>
  <c r="C28" i="16" s="1"/>
  <c r="D28" i="16" s="1"/>
  <c r="E28" i="16"/>
  <c r="E24" i="16"/>
  <c r="A24" i="16"/>
  <c r="I24" i="16"/>
  <c r="B24" i="16" s="1"/>
  <c r="C24" i="16" s="1"/>
  <c r="D24" i="16" s="1"/>
  <c r="E27" i="16"/>
  <c r="I27" i="16"/>
  <c r="B27" i="16" s="1"/>
  <c r="C27" i="16" s="1"/>
  <c r="D27" i="16" s="1"/>
  <c r="A57" i="16"/>
  <c r="E57" i="16"/>
  <c r="I57" i="16"/>
  <c r="B57" i="16" s="1"/>
  <c r="A56" i="16"/>
  <c r="I56" i="16"/>
  <c r="B56" i="16" s="1"/>
  <c r="E56" i="16"/>
  <c r="C51" i="16"/>
  <c r="A30" i="16"/>
  <c r="I30" i="16"/>
  <c r="B30" i="16" s="1"/>
  <c r="C30" i="16" s="1"/>
  <c r="D30" i="16" s="1"/>
  <c r="E30" i="16"/>
  <c r="A59" i="16"/>
  <c r="I59" i="16"/>
  <c r="B59" i="16" s="1"/>
  <c r="E59" i="16"/>
  <c r="I61" i="16"/>
  <c r="B61" i="16" s="1"/>
  <c r="E61" i="16"/>
  <c r="A61" i="16"/>
  <c r="A60" i="16"/>
  <c r="E60" i="16"/>
  <c r="I60" i="16"/>
  <c r="B60" i="16" s="1"/>
  <c r="Q32" i="16"/>
  <c r="R32" i="16" s="1"/>
  <c r="H32" i="16" s="1"/>
  <c r="P40" i="16"/>
  <c r="Q40" i="16"/>
  <c r="R40" i="16" s="1"/>
  <c r="H40" i="16" s="1"/>
  <c r="C40" i="16"/>
  <c r="D40" i="16"/>
  <c r="D47" i="16"/>
  <c r="C47" i="16"/>
  <c r="E2" i="16"/>
  <c r="I2" i="16"/>
  <c r="B2" i="16" s="1"/>
  <c r="C2" i="16" s="1"/>
  <c r="A2" i="16"/>
  <c r="L41" i="10"/>
  <c r="Q55" i="16"/>
  <c r="R55" i="16" s="1"/>
  <c r="H55" i="16" s="1"/>
  <c r="P55" i="16"/>
  <c r="M41" i="1"/>
  <c r="N41" i="9"/>
  <c r="M41" i="12"/>
  <c r="C37" i="16"/>
  <c r="D37" i="16"/>
  <c r="P43" i="16"/>
  <c r="Q43" i="16"/>
  <c r="R43" i="16" s="1"/>
  <c r="H43" i="16" s="1"/>
  <c r="P37" i="16"/>
  <c r="Q37" i="16"/>
  <c r="R37" i="16" s="1"/>
  <c r="H37" i="16" s="1"/>
  <c r="C43" i="16"/>
  <c r="D43" i="16"/>
  <c r="Q33" i="16" l="1"/>
  <c r="R33" i="16" s="1"/>
  <c r="H33" i="16" s="1"/>
  <c r="D33" i="16"/>
  <c r="C46" i="16"/>
  <c r="D50" i="16"/>
  <c r="P47" i="16"/>
  <c r="C55" i="16"/>
  <c r="D54" i="16"/>
  <c r="P46" i="16"/>
  <c r="C52" i="16"/>
  <c r="C42" i="16"/>
  <c r="C36" i="16"/>
  <c r="C38" i="16"/>
  <c r="D49" i="16"/>
  <c r="D44" i="16"/>
  <c r="C44" i="16"/>
  <c r="Q45" i="16"/>
  <c r="R45" i="16" s="1"/>
  <c r="H45" i="16" s="1"/>
  <c r="D39" i="16"/>
  <c r="C35" i="16"/>
  <c r="D58" i="16"/>
  <c r="Q34" i="16"/>
  <c r="R34" i="16" s="1"/>
  <c r="H34" i="16" s="1"/>
  <c r="P34" i="16"/>
  <c r="D34" i="16"/>
  <c r="C34" i="16"/>
  <c r="P57" i="16"/>
  <c r="Q57" i="16"/>
  <c r="R57" i="16" s="1"/>
  <c r="H57" i="16" s="1"/>
  <c r="D57" i="16"/>
  <c r="C57" i="16"/>
  <c r="P56" i="16"/>
  <c r="Q56" i="16"/>
  <c r="R56" i="16" s="1"/>
  <c r="H56" i="16" s="1"/>
  <c r="C56" i="16"/>
  <c r="D56" i="16"/>
  <c r="D59" i="16"/>
  <c r="C59" i="16"/>
  <c r="C61" i="16"/>
  <c r="D61" i="16"/>
  <c r="P59" i="16"/>
  <c r="Q59" i="16"/>
  <c r="R59" i="16" s="1"/>
  <c r="H59" i="16" s="1"/>
  <c r="P61" i="16"/>
  <c r="Q61" i="16"/>
  <c r="R61" i="16" s="1"/>
  <c r="H61" i="16" s="1"/>
  <c r="C60" i="16"/>
  <c r="D60" i="16"/>
  <c r="Q60" i="16"/>
  <c r="R60" i="16" s="1"/>
  <c r="H60" i="16" s="1"/>
  <c r="P60" i="16"/>
  <c r="D2" i="16"/>
</calcChain>
</file>

<file path=xl/sharedStrings.xml><?xml version="1.0" encoding="utf-8"?>
<sst xmlns="http://schemas.openxmlformats.org/spreadsheetml/2006/main" count="3167" uniqueCount="1040">
  <si>
    <t>Job Name, PO Number:</t>
  </si>
  <si>
    <t>Customer</t>
  </si>
  <si>
    <t>Location</t>
  </si>
  <si>
    <t>Width</t>
  </si>
  <si>
    <t>Height</t>
  </si>
  <si>
    <t>Grain</t>
  </si>
  <si>
    <t>Edge1</t>
  </si>
  <si>
    <t>Edge 2</t>
  </si>
  <si>
    <t>Edge 3</t>
  </si>
  <si>
    <t>Edge 4</t>
  </si>
  <si>
    <t>VERTICAL</t>
  </si>
  <si>
    <t>HORIZONTAL</t>
  </si>
  <si>
    <t>Date</t>
  </si>
  <si>
    <t>Qty.</t>
  </si>
  <si>
    <t>Version</t>
  </si>
  <si>
    <t>Form #</t>
  </si>
  <si>
    <t>MR</t>
  </si>
  <si>
    <t>Lioher Use Only</t>
  </si>
  <si>
    <t>Date submission</t>
  </si>
  <si>
    <t>Shipping &amp; other Instructions:</t>
  </si>
  <si>
    <t>Notes</t>
  </si>
  <si>
    <t>DOORS</t>
  </si>
  <si>
    <t>Design - color</t>
  </si>
  <si>
    <t>PANEL</t>
  </si>
  <si>
    <t>*Prices in $/sf</t>
  </si>
  <si>
    <t>Thickness (mm)</t>
  </si>
  <si>
    <t>Cat 1</t>
  </si>
  <si>
    <t>Cat 2</t>
  </si>
  <si>
    <t>Cat 3</t>
  </si>
  <si>
    <t>EDGEBAND</t>
  </si>
  <si>
    <t>*Prices in $/f</t>
  </si>
  <si>
    <t>Type</t>
  </si>
  <si>
    <t>Special size</t>
  </si>
  <si>
    <t>full roll</t>
  </si>
  <si>
    <t>Solid monocolor</t>
  </si>
  <si>
    <t>Wood &amp; decors</t>
  </si>
  <si>
    <t>Solid Dual color</t>
  </si>
  <si>
    <t>W&amp;D dual color</t>
  </si>
  <si>
    <t>pearl effect</t>
  </si>
  <si>
    <t>Supermatt</t>
  </si>
  <si>
    <t>Metal deco</t>
  </si>
  <si>
    <t>Rate</t>
  </si>
  <si>
    <t>Edgebanded door</t>
  </si>
  <si>
    <t>Sequenced</t>
  </si>
  <si>
    <t>standard Sample</t>
  </si>
  <si>
    <t>Sample set</t>
  </si>
  <si>
    <t>Design 23x1</t>
  </si>
  <si>
    <t>Design 25x1</t>
  </si>
  <si>
    <t>Price</t>
  </si>
  <si>
    <t>Sample 20x20</t>
  </si>
  <si>
    <t>luxe</t>
  </si>
  <si>
    <t>1a</t>
  </si>
  <si>
    <t>2a</t>
  </si>
  <si>
    <t>3a</t>
  </si>
  <si>
    <t>3b</t>
  </si>
  <si>
    <t>1b</t>
  </si>
  <si>
    <t>2b</t>
  </si>
  <si>
    <t>size</t>
  </si>
  <si>
    <t>Cat.</t>
  </si>
  <si>
    <t>Total Price</t>
  </si>
  <si>
    <t>Solid color</t>
  </si>
  <si>
    <t>Solid dual</t>
  </si>
  <si>
    <t>W&amp;D dual</t>
  </si>
  <si>
    <t>·</t>
  </si>
  <si>
    <t>-</t>
  </si>
  <si>
    <t>Yes</t>
  </si>
  <si>
    <t>No</t>
  </si>
  <si>
    <t>Luxe</t>
  </si>
  <si>
    <t>Llistes</t>
  </si>
  <si>
    <t>Price rol</t>
  </si>
  <si>
    <t>Price special</t>
  </si>
  <si>
    <t>Rol length</t>
  </si>
  <si>
    <t>type</t>
  </si>
  <si>
    <t>stock</t>
  </si>
  <si>
    <t>Stock</t>
  </si>
  <si>
    <t>yes</t>
  </si>
  <si>
    <t>syncron</t>
  </si>
  <si>
    <t>Order #</t>
  </si>
  <si>
    <t xml:space="preserve">Total Sq/Ft </t>
  </si>
  <si>
    <t>Door price</t>
  </si>
  <si>
    <t>Sequenced door</t>
  </si>
  <si>
    <t>Seq. Door p.</t>
  </si>
  <si>
    <t>Roll</t>
  </si>
  <si>
    <t>NO GRAIN</t>
  </si>
  <si>
    <t>TOTAL PANELS</t>
  </si>
  <si>
    <t>TOTAL PIECES</t>
  </si>
  <si>
    <t>TOTAL SF</t>
  </si>
  <si>
    <t>TOTAL DOORS</t>
  </si>
  <si>
    <t>Discounts</t>
  </si>
  <si>
    <t>Aprov.</t>
  </si>
  <si>
    <t>if are ordered sequenced doors, are needed the doors sequence drawing</t>
  </si>
  <si>
    <t>METALDECO ANTRACITA</t>
  </si>
  <si>
    <t>METALDECO BASALTO</t>
  </si>
  <si>
    <t>METALDECO KUBANITE</t>
  </si>
  <si>
    <t>METALDECO CACHEMIR</t>
  </si>
  <si>
    <t>METALDECO BLANCO</t>
  </si>
  <si>
    <t>VER.SEQUENCED</t>
  </si>
  <si>
    <t>HOR.SEQUENCED</t>
  </si>
  <si>
    <t>Panels ref.</t>
  </si>
  <si>
    <t>Edges ref.</t>
  </si>
  <si>
    <t>Made</t>
  </si>
  <si>
    <t>DOOR 
ORDER FORM - ESTIMATE</t>
  </si>
  <si>
    <t>ETD</t>
  </si>
  <si>
    <t>Units</t>
  </si>
  <si>
    <t>Inch</t>
  </si>
  <si>
    <t>Thickness</t>
  </si>
  <si>
    <t>Color</t>
  </si>
  <si>
    <t>Quantity</t>
  </si>
  <si>
    <t>Description</t>
  </si>
  <si>
    <t>edge1</t>
  </si>
  <si>
    <t>edge2</t>
  </si>
  <si>
    <t>edge3</t>
  </si>
  <si>
    <t>edge4</t>
  </si>
  <si>
    <t>Po Number</t>
  </si>
  <si>
    <t>Panel</t>
  </si>
  <si>
    <t>PANEL &amp; EDGE ORDER</t>
  </si>
  <si>
    <t>ORDER NUMBER</t>
  </si>
  <si>
    <t>DOORS ORDER</t>
  </si>
  <si>
    <t>Date completed</t>
  </si>
  <si>
    <t>ship date</t>
  </si>
  <si>
    <t>PANEL DESIGN</t>
  </si>
  <si>
    <t>Check</t>
  </si>
  <si>
    <t>EDGE DESIGN</t>
  </si>
  <si>
    <t>Qty type</t>
  </si>
  <si>
    <t>Qty</t>
  </si>
  <si>
    <t>Shipping &amp; other Instructions (to be filed by the sales department)</t>
  </si>
  <si>
    <t>Sample Box A</t>
  </si>
  <si>
    <t>Sample Box B</t>
  </si>
  <si>
    <t>Sample Box C</t>
  </si>
  <si>
    <t>Sample Box D</t>
  </si>
  <si>
    <t>Single Sample</t>
  </si>
  <si>
    <t>SY P.MALIBU.2 GRIS</t>
  </si>
  <si>
    <t>SY P.MALIBU.1 BLANCO</t>
  </si>
  <si>
    <t>SY P.MALIBU.3 OSCURO</t>
  </si>
  <si>
    <t>SY P.RUSTICO.1 GRAFITO</t>
  </si>
  <si>
    <t>SY P.RUSTICO.2 NATURAL</t>
  </si>
  <si>
    <t>SY P.RUSTICO.3 CLARO</t>
  </si>
  <si>
    <t>SY P.RUSTICO.4 OSCURO</t>
  </si>
  <si>
    <t>SY IDA.RUSTIK.4</t>
  </si>
  <si>
    <t>SY IDA.RUSTIK.3</t>
  </si>
  <si>
    <t>SY IDA.RUSTIK.2</t>
  </si>
  <si>
    <t>SY IDA.RUSTIK.1</t>
  </si>
  <si>
    <t>SY OLMO.1</t>
  </si>
  <si>
    <t>SY LEATHER WHITE</t>
  </si>
  <si>
    <t>SY LEATHER DARK G.</t>
  </si>
  <si>
    <t>SY LEATHER CREAM</t>
  </si>
  <si>
    <t>SY LEATHER BASALT</t>
  </si>
  <si>
    <t>SY R.FRAPPE.3</t>
  </si>
  <si>
    <t>SY R.FRAPPE.2</t>
  </si>
  <si>
    <t>SY R.FRAPPE.1</t>
  </si>
  <si>
    <t xml:space="preserve">METALDECO GRIS </t>
  </si>
  <si>
    <t>HG PEARL ANTRACITA</t>
  </si>
  <si>
    <t>HG PEARL BASALTO</t>
  </si>
  <si>
    <t>HG PEARL COBALTO</t>
  </si>
  <si>
    <t>HG PEARL BURDEOS</t>
  </si>
  <si>
    <t>HG PEARL MAGNOLIA</t>
  </si>
  <si>
    <t>HG PEARL BLANCO</t>
  </si>
  <si>
    <t>HG LASER BLANCO</t>
  </si>
  <si>
    <t>HG MELANGE.4</t>
  </si>
  <si>
    <t>BI HG MELANGE.4</t>
  </si>
  <si>
    <t>BI HG MELANGE.1</t>
  </si>
  <si>
    <t>HG MELANGE.1</t>
  </si>
  <si>
    <t>BI HG R.FRAPPE</t>
  </si>
  <si>
    <t>HG R.FRAPPE</t>
  </si>
  <si>
    <t>BI HG OLMO</t>
  </si>
  <si>
    <t>HG OLMO</t>
  </si>
  <si>
    <t>BI HG PM3.TABACO</t>
  </si>
  <si>
    <t>HG PM3.TABACO</t>
  </si>
  <si>
    <t>BI HG GUAYANA</t>
  </si>
  <si>
    <t>HG GUAYANA</t>
  </si>
  <si>
    <t>BI HG CUZ.SILVER</t>
  </si>
  <si>
    <t>HG CUZ.SILVER</t>
  </si>
  <si>
    <t>BI HG CUZ.GRAFIT</t>
  </si>
  <si>
    <t>HG CUZ.GRAFIT</t>
  </si>
  <si>
    <t>BI HG CUZ.RY.GOLD</t>
  </si>
  <si>
    <t>HG CUZ.RY.GOLD</t>
  </si>
  <si>
    <t>BI HG CUZ.ORO</t>
  </si>
  <si>
    <t>HG CUZ.ORO</t>
  </si>
  <si>
    <t>BI HG CUZ.COBRE</t>
  </si>
  <si>
    <t>HG CUZ.COBRE</t>
  </si>
  <si>
    <t>BI HG OLIVO</t>
  </si>
  <si>
    <t>HG OLIVO</t>
  </si>
  <si>
    <t>BI HG PISTACHO</t>
  </si>
  <si>
    <t>HG PISTACHO</t>
  </si>
  <si>
    <t>BI HG NARANJA</t>
  </si>
  <si>
    <t>HG NARANJA</t>
  </si>
  <si>
    <t>BI HG MAGNOLIA</t>
  </si>
  <si>
    <t>HG MAGNOLIA</t>
  </si>
  <si>
    <t>BI HG BERENJENA</t>
  </si>
  <si>
    <t>HG BERENJENA</t>
  </si>
  <si>
    <t>BI HG BURDEOS</t>
  </si>
  <si>
    <t>HG BURDEOS</t>
  </si>
  <si>
    <t>BI HG ROJO</t>
  </si>
  <si>
    <t>HG ROJO</t>
  </si>
  <si>
    <t>BI HG CASHEMIRE</t>
  </si>
  <si>
    <t>HG CASHEMIRE</t>
  </si>
  <si>
    <t>BI HG GRIS.2</t>
  </si>
  <si>
    <t>HG GRIS.2</t>
  </si>
  <si>
    <t>BI HG LAVA</t>
  </si>
  <si>
    <t>HG LAVA</t>
  </si>
  <si>
    <t>BI HG ANTRACITA</t>
  </si>
  <si>
    <t>HG ANTRACITA</t>
  </si>
  <si>
    <t xml:space="preserve">BI HG BASALTO </t>
  </si>
  <si>
    <t xml:space="preserve">HG BASALTO </t>
  </si>
  <si>
    <t>HG BLANCO</t>
  </si>
  <si>
    <t>Item NO.</t>
  </si>
  <si>
    <t>Code order #</t>
  </si>
  <si>
    <t>Length/Height</t>
  </si>
  <si>
    <r>
      <t xml:space="preserve">Date </t>
    </r>
    <r>
      <rPr>
        <sz val="12"/>
        <color indexed="8"/>
        <rFont val="Calibri"/>
        <family val="2"/>
      </rPr>
      <t>Delivery - ETD</t>
    </r>
  </si>
  <si>
    <t>Date Delivery - ETD</t>
  </si>
  <si>
    <t>HG EUROLINE.3</t>
  </si>
  <si>
    <t>BI HG TEXTIL.ORO</t>
  </si>
  <si>
    <t>NO EDGE</t>
  </si>
  <si>
    <t>#</t>
  </si>
  <si>
    <t>Discnt.</t>
  </si>
  <si>
    <t>Syncr.</t>
  </si>
  <si>
    <t>Customer #</t>
  </si>
  <si>
    <t>FP door</t>
  </si>
  <si>
    <t>NOT AV.</t>
  </si>
  <si>
    <t>PANEL 
ORDER FORM - ESTIMATE</t>
  </si>
  <si>
    <t>Made by</t>
  </si>
  <si>
    <t>Rush order</t>
  </si>
  <si>
    <t>Total Sf</t>
  </si>
  <si>
    <t>P. Price Sf</t>
  </si>
  <si>
    <t>Discount</t>
  </si>
  <si>
    <t>Total price</t>
  </si>
  <si>
    <t>TOTAL ORDER</t>
  </si>
  <si>
    <t>Syncron</t>
  </si>
  <si>
    <t>EDGE 
ORDER FORM - ESTIMATE</t>
  </si>
  <si>
    <t>Approved</t>
  </si>
  <si>
    <t>Rush order?</t>
  </si>
  <si>
    <t>Qty type*</t>
  </si>
  <si>
    <t>P. Price Lf</t>
  </si>
  <si>
    <t>Panels are 18mm thickness and 4'x9'</t>
  </si>
  <si>
    <t>LUXE HG BLANCO</t>
  </si>
  <si>
    <t>LUXE HG ANTRACITA</t>
  </si>
  <si>
    <t>LUXE HG CASHEMIRE</t>
  </si>
  <si>
    <t>LUXE HG ROJO</t>
  </si>
  <si>
    <t>LUXE HG BURDEOS</t>
  </si>
  <si>
    <t>LUXE HG BERENJENA</t>
  </si>
  <si>
    <t>LUXE HG MAGNOLIA</t>
  </si>
  <si>
    <t>LUXE HG OLIVO</t>
  </si>
  <si>
    <t>LUXE HG EUROLINE.3</t>
  </si>
  <si>
    <t>LUXE HG TEXTIL.PLATA</t>
  </si>
  <si>
    <t>LUXE HG CUZ.ORO</t>
  </si>
  <si>
    <t>LUXE HG CUZ.SILVER</t>
  </si>
  <si>
    <t>LUXE HG GUAYANA</t>
  </si>
  <si>
    <t>LUXE HG OLMO</t>
  </si>
  <si>
    <t>LUXE HG R.FRAPPE</t>
  </si>
  <si>
    <t>LUXE PEARL BLANCO</t>
  </si>
  <si>
    <t>LUXE PEARL BURDEOS</t>
  </si>
  <si>
    <t>LUXE PEARL COBALTO</t>
  </si>
  <si>
    <t>LUXE PEARL BASALTO</t>
  </si>
  <si>
    <t>LUXE PEARL ANTRACITA</t>
  </si>
  <si>
    <t>SYNC OLMO.2</t>
  </si>
  <si>
    <t>SYNC OLMO.3</t>
  </si>
  <si>
    <t>Puertas ref.</t>
  </si>
  <si>
    <t>HG CURRY</t>
  </si>
  <si>
    <t>LUXE HG CURRY</t>
  </si>
  <si>
    <t>HIGH GLOSS</t>
  </si>
  <si>
    <t>PEARL EFFECT</t>
  </si>
  <si>
    <t>ZENIT SUPERMATT</t>
  </si>
  <si>
    <t>ZENIT METALDECO SUPERMATT</t>
  </si>
  <si>
    <t>DIGITAL</t>
  </si>
  <si>
    <t>LUXE HG GRIS 03 - NUBE</t>
  </si>
  <si>
    <t>LUXE HG GRIS METALIC - ACERO</t>
  </si>
  <si>
    <t xml:space="preserve">LUXE HG BASALTO </t>
  </si>
  <si>
    <t>LUXE CUZCO HG COPPER</t>
  </si>
  <si>
    <t>LUXE HG LASER BLANCO</t>
  </si>
  <si>
    <t>LF</t>
  </si>
  <si>
    <t>mm</t>
  </si>
  <si>
    <t>FINGER PULL</t>
  </si>
  <si>
    <t>Public Price Sf 8mm</t>
  </si>
  <si>
    <t>Public Price Sf 10mm</t>
  </si>
  <si>
    <t>Public Price Sf 16mm</t>
  </si>
  <si>
    <t>Public Price Sf 18mm</t>
  </si>
  <si>
    <t>LUXE HG BLANCO 2 SIDES</t>
  </si>
  <si>
    <t>8mm</t>
  </si>
  <si>
    <t>10mm</t>
  </si>
  <si>
    <t>16mm</t>
  </si>
  <si>
    <t>18mm</t>
  </si>
  <si>
    <t>22mm</t>
  </si>
  <si>
    <t>Public Price Sf 22mm</t>
  </si>
  <si>
    <t>8*</t>
  </si>
  <si>
    <t>2side door</t>
  </si>
  <si>
    <t>HG GRIS.3 NUBE</t>
  </si>
  <si>
    <t>CAVA DOOR 5P</t>
  </si>
  <si>
    <t>CAVA DOOR 7P</t>
  </si>
  <si>
    <t>CAVA DOOR 9P</t>
  </si>
  <si>
    <t>CAVA DRAWER 5P</t>
  </si>
  <si>
    <t>CAVA DRAWER 3P</t>
  </si>
  <si>
    <t>CAVA DOOR 5 P</t>
  </si>
  <si>
    <t>CAVA DOOR 7 P</t>
  </si>
  <si>
    <t>CAVA DOOR 9 P</t>
  </si>
  <si>
    <r>
      <t>PANEL LUXE</t>
    </r>
    <r>
      <rPr>
        <b/>
        <sz val="14"/>
        <rFont val="Calibri"/>
        <family val="2"/>
      </rPr>
      <t xml:space="preserve"> -</t>
    </r>
    <r>
      <rPr>
        <b/>
        <sz val="14"/>
        <rFont val="Calibri"/>
        <family val="2"/>
      </rPr>
      <t xml:space="preserve"> </t>
    </r>
    <r>
      <rPr>
        <b/>
        <sz val="14"/>
        <rFont val="Calibri"/>
        <family val="2"/>
      </rPr>
      <t>TWO</t>
    </r>
    <r>
      <rPr>
        <b/>
        <sz val="14"/>
        <rFont val="Calibri"/>
        <family val="2"/>
      </rPr>
      <t xml:space="preserve"> SIDE</t>
    </r>
    <r>
      <rPr>
        <b/>
        <sz val="14"/>
        <rFont val="Calibri"/>
        <family val="2"/>
      </rPr>
      <t>S</t>
    </r>
  </si>
  <si>
    <t>CAVA DRW  5 P</t>
  </si>
  <si>
    <t>Qty*</t>
  </si>
  <si>
    <t>Total lf</t>
  </si>
  <si>
    <t>BI HG BLANCO</t>
  </si>
  <si>
    <t>BI HG CURRY</t>
  </si>
  <si>
    <t>BI HG CUZCO COPPER</t>
  </si>
  <si>
    <t>BI HG TEXTIL GRAFITO</t>
  </si>
  <si>
    <t>BI HG EUROL.2</t>
  </si>
  <si>
    <t>BI HG.EUROLINE.3</t>
  </si>
  <si>
    <t>BI HG GRIS 3</t>
  </si>
  <si>
    <t>BI HG TEX.PLATA</t>
  </si>
  <si>
    <t>HG CUZCO COPPER</t>
  </si>
  <si>
    <t>HG TEXTIL GRAFITO</t>
  </si>
  <si>
    <t>HG EUROL.2</t>
  </si>
  <si>
    <t>HG.GRIS 3</t>
  </si>
  <si>
    <t>HG GRIS METALIC</t>
  </si>
  <si>
    <t>HG TEX ORO</t>
  </si>
  <si>
    <t>HG TEX PLATA</t>
  </si>
  <si>
    <t>SY EVORA JADE 03</t>
  </si>
  <si>
    <t>SY EVORA JADE 04</t>
  </si>
  <si>
    <t>SY ICE CREAM JADE 01</t>
  </si>
  <si>
    <t>SY ICE CREAM JADE 02</t>
  </si>
  <si>
    <t>SY ICE CREAM JADE 03</t>
  </si>
  <si>
    <t>SY ICE CREAM JADE 04</t>
  </si>
  <si>
    <t>CAVA LUXE</t>
  </si>
  <si>
    <t>CAVA SYNCRON</t>
  </si>
  <si>
    <t>All prices are in EXW conditions and subjected to the general conditions described in the lioher public price list</t>
  </si>
  <si>
    <t>Door type</t>
  </si>
  <si>
    <r>
      <t xml:space="preserve">Length of the rols: monocolor (solid, wood &amp; decors) - 738', </t>
    </r>
    <r>
      <rPr>
        <sz val="10"/>
        <color indexed="8"/>
        <rFont val="Calibri"/>
        <family val="2"/>
      </rPr>
      <t>Bicolor - 574', Supermatt, deco &amp; pearl - 656'.</t>
    </r>
  </si>
  <si>
    <t xml:space="preserve">TOTAL EDGE  </t>
  </si>
  <si>
    <t xml:space="preserve">TOTAL ORDER  </t>
  </si>
  <si>
    <t>TWO SIDES</t>
  </si>
  <si>
    <t>CAVA LIST COLOR</t>
  </si>
  <si>
    <t>BI HG ACERO STEEL</t>
  </si>
  <si>
    <t>Thick</t>
  </si>
  <si>
    <t>ReferenceNumber</t>
  </si>
  <si>
    <t>Model</t>
  </si>
  <si>
    <t>SubModel</t>
  </si>
  <si>
    <t>ColorMain</t>
  </si>
  <si>
    <t>WidthD</t>
  </si>
  <si>
    <t>LengthD</t>
  </si>
  <si>
    <t>ColorEdge1</t>
  </si>
  <si>
    <t>ColorEdge2</t>
  </si>
  <si>
    <t>ColorEdge3</t>
  </si>
  <si>
    <t>ColorEdge4</t>
  </si>
  <si>
    <t>bicolorEdge1</t>
  </si>
  <si>
    <t>bicolorEdge2</t>
  </si>
  <si>
    <t>bicolorEdge3</t>
  </si>
  <si>
    <t>bicolorEdge4</t>
  </si>
  <si>
    <t>DOOR4LUXE</t>
  </si>
  <si>
    <t>LTC8L0025</t>
  </si>
  <si>
    <t>CANABE512</t>
  </si>
  <si>
    <t>CANABF0102</t>
  </si>
  <si>
    <t>CANABF0104</t>
  </si>
  <si>
    <t>NARANJ HG</t>
  </si>
  <si>
    <t>CANABF0100</t>
  </si>
  <si>
    <t>MURATTI-004</t>
  </si>
  <si>
    <t>OLMO-002 MR</t>
  </si>
  <si>
    <t>CANABF0103</t>
  </si>
  <si>
    <t>OLMO-003 MR</t>
  </si>
  <si>
    <t>CANABF01031</t>
  </si>
  <si>
    <t>OLMO-003 HG</t>
  </si>
  <si>
    <t>BASALT LEATHER</t>
  </si>
  <si>
    <t>GRIS ANTR LEATHER</t>
  </si>
  <si>
    <t>CANABF0106</t>
  </si>
  <si>
    <t>BLANCO LEATHER</t>
  </si>
  <si>
    <t>BLANCO METALIC HG</t>
  </si>
  <si>
    <t>CANABF0110</t>
  </si>
  <si>
    <t>LAVA  HG</t>
  </si>
  <si>
    <t>CANABF0111</t>
  </si>
  <si>
    <t>BASALTO  HG</t>
  </si>
  <si>
    <t>CACHEMIR  HG</t>
  </si>
  <si>
    <t>CANABF0114</t>
  </si>
  <si>
    <t>GRIS 3  HG</t>
  </si>
  <si>
    <t>CANABF01141</t>
  </si>
  <si>
    <t>CANABF0115</t>
  </si>
  <si>
    <t>IDA-001 RP</t>
  </si>
  <si>
    <t>CANABF0116</t>
  </si>
  <si>
    <t>IDA-002 RP</t>
  </si>
  <si>
    <t>CANABF0117</t>
  </si>
  <si>
    <t>IDA-003 RP</t>
  </si>
  <si>
    <t>CANABF0118</t>
  </si>
  <si>
    <t>IDA-004 RP</t>
  </si>
  <si>
    <t>CANABF0126</t>
  </si>
  <si>
    <t>GRIS ANTR METALLIC SM</t>
  </si>
  <si>
    <t>CANABF0128</t>
  </si>
  <si>
    <t>BASALT METALLIC SM</t>
  </si>
  <si>
    <t>CANABF0129</t>
  </si>
  <si>
    <t>BLANCO METALLIC SM</t>
  </si>
  <si>
    <t>CANABF0130</t>
  </si>
  <si>
    <t>CACHEMIR METALLIC SM</t>
  </si>
  <si>
    <t>CANABF0131</t>
  </si>
  <si>
    <t>KUBANITE METALLIC SM</t>
  </si>
  <si>
    <t>CANABF0137</t>
  </si>
  <si>
    <t>CUZCO GOLD  HG</t>
  </si>
  <si>
    <t>CANABF0139</t>
  </si>
  <si>
    <t>CUZCO GRAFIT-OXID  HG</t>
  </si>
  <si>
    <t>CANABF0147</t>
  </si>
  <si>
    <t>CANABF01531</t>
  </si>
  <si>
    <t>ICE CREAM 01 JADE</t>
  </si>
  <si>
    <t>CANABF01541</t>
  </si>
  <si>
    <t>ICE CREAM 03 JADE</t>
  </si>
  <si>
    <t>CANABF01551</t>
  </si>
  <si>
    <t>EVORA 03 JADE</t>
  </si>
  <si>
    <t>CANABF01561</t>
  </si>
  <si>
    <t>ICE CREAM 04 JAD</t>
  </si>
  <si>
    <t>CANABF01571</t>
  </si>
  <si>
    <t>ICE CREAM 02 JADE</t>
  </si>
  <si>
    <t>CANABF0159</t>
  </si>
  <si>
    <t>CANABF01611</t>
  </si>
  <si>
    <t>EVORA 04 JADE</t>
  </si>
  <si>
    <t>CANABF0162</t>
  </si>
  <si>
    <t>CUZCO COPPER  HG</t>
  </si>
  <si>
    <t>CANABF0163</t>
  </si>
  <si>
    <t>CURRY  HG</t>
  </si>
  <si>
    <t>CANABF0164</t>
  </si>
  <si>
    <t>TEXTIL GRAFITO HG</t>
  </si>
  <si>
    <t>CANABF0165</t>
  </si>
  <si>
    <t xml:space="preserve">CACHEMIR SM  </t>
  </si>
  <si>
    <t>CANABF212</t>
  </si>
  <si>
    <t>PISTAC HG</t>
  </si>
  <si>
    <t>CANABF271</t>
  </si>
  <si>
    <t>MARFIL HG</t>
  </si>
  <si>
    <t>CANABF421</t>
  </si>
  <si>
    <t>BLANCO HG</t>
  </si>
  <si>
    <t>ANTRAC HG</t>
  </si>
  <si>
    <t>CANABF51</t>
  </si>
  <si>
    <t>EUROLINE-3 HG</t>
  </si>
  <si>
    <t>CANABF52</t>
  </si>
  <si>
    <t>EUROLINE-2 HG</t>
  </si>
  <si>
    <t>CANABF581</t>
  </si>
  <si>
    <t>OLIVO HG</t>
  </si>
  <si>
    <t>CANABF64</t>
  </si>
  <si>
    <t>ROJO HG</t>
  </si>
  <si>
    <t>CANABF72</t>
  </si>
  <si>
    <t>AZUL COB METALIC HG</t>
  </si>
  <si>
    <t>CANABF73</t>
  </si>
  <si>
    <t>GRIS ANTR METALIC HG</t>
  </si>
  <si>
    <t>GRIS BASALTO METALIC HG</t>
  </si>
  <si>
    <t>CANABF78</t>
  </si>
  <si>
    <t>BLANCO SM  LUX</t>
  </si>
  <si>
    <t>CANABF79</t>
  </si>
  <si>
    <t>MAGNOLIA SM LUX</t>
  </si>
  <si>
    <t>CANABF80</t>
  </si>
  <si>
    <t>GRIS ANTRACITA SM LUX</t>
  </si>
  <si>
    <t>CANABF81</t>
  </si>
  <si>
    <t>GRIS BASALTO SM LUX</t>
  </si>
  <si>
    <t>CANABF82</t>
  </si>
  <si>
    <t>MELANGE 01  HG</t>
  </si>
  <si>
    <t>CANABF85</t>
  </si>
  <si>
    <t>MELANGE 04 HG</t>
  </si>
  <si>
    <t>CANABF87</t>
  </si>
  <si>
    <t>LASER BLANCO HG</t>
  </si>
  <si>
    <t>CANABF88</t>
  </si>
  <si>
    <t>LASER CHAMPAGNE HG</t>
  </si>
  <si>
    <t>CANABF94</t>
  </si>
  <si>
    <t>FRAPPE-001</t>
  </si>
  <si>
    <t>CANABF95</t>
  </si>
  <si>
    <t>FRAPPE-002</t>
  </si>
  <si>
    <t>CANABF96</t>
  </si>
  <si>
    <t>FRAPPE-003</t>
  </si>
  <si>
    <t>CANABF961</t>
  </si>
  <si>
    <t>FRAPPE-003 HG</t>
  </si>
  <si>
    <t>CANABF97</t>
  </si>
  <si>
    <t>MURATTI-001</t>
  </si>
  <si>
    <t>CANABF98</t>
  </si>
  <si>
    <t>MURATTI-002</t>
  </si>
  <si>
    <t>CANABF99</t>
  </si>
  <si>
    <t>MURATTI-003</t>
  </si>
  <si>
    <t>GRIS ALUM HG</t>
  </si>
  <si>
    <t>CANABS20</t>
  </si>
  <si>
    <t>TEXTIL DORADO HG</t>
  </si>
  <si>
    <t>CANABS21</t>
  </si>
  <si>
    <t>CUZCO ORO HG</t>
  </si>
  <si>
    <t>CANABS31</t>
  </si>
  <si>
    <t>TEXTIL PLATA HG</t>
  </si>
  <si>
    <t>CANABS32</t>
  </si>
  <si>
    <t>GUAYANA HG</t>
  </si>
  <si>
    <t>MALIBU 3 HG</t>
  </si>
  <si>
    <t>CANABS35</t>
  </si>
  <si>
    <t>CUZCO COBRE HG</t>
  </si>
  <si>
    <t>ONDA BLANCO HG</t>
  </si>
  <si>
    <t>CANPVS118</t>
  </si>
  <si>
    <t>Bicolor ROJO I</t>
  </si>
  <si>
    <t>CANPVS120</t>
  </si>
  <si>
    <t>Bicolor BLANCO</t>
  </si>
  <si>
    <t>Bicolor CREMA I</t>
  </si>
  <si>
    <t>CANPVS122</t>
  </si>
  <si>
    <t>Bicolor NARANJA I</t>
  </si>
  <si>
    <t>CANPVS125</t>
  </si>
  <si>
    <t>CANPVS126</t>
  </si>
  <si>
    <t>Bicolor PISTACHO I</t>
  </si>
  <si>
    <t>CANPVS128</t>
  </si>
  <si>
    <t>Bicolor ANTRACITA I</t>
  </si>
  <si>
    <t>CANPVS129</t>
  </si>
  <si>
    <t>Bicolor EUROLINE2 I</t>
  </si>
  <si>
    <t>CANPVS130</t>
  </si>
  <si>
    <t>Bicolor EUROLINE3 I</t>
  </si>
  <si>
    <t>CANPVS134</t>
  </si>
  <si>
    <t>Bicolor MONOCACERO</t>
  </si>
  <si>
    <t>Bicolor NOGOSCURO I</t>
  </si>
  <si>
    <t>CANPVS137</t>
  </si>
  <si>
    <t>Bicolor TEXTIL DORADO</t>
  </si>
  <si>
    <t>CANPVS138</t>
  </si>
  <si>
    <t xml:space="preserve">Bicolor CUZCO ORO </t>
  </si>
  <si>
    <t>Bicolor MALIBU 3 I</t>
  </si>
  <si>
    <t>CANPVS171</t>
  </si>
  <si>
    <t>Bicolor GUAYANA I</t>
  </si>
  <si>
    <t>CANPVS172</t>
  </si>
  <si>
    <t>Bicolor TEXTIL PLATA</t>
  </si>
  <si>
    <t>CANPVS173</t>
  </si>
  <si>
    <t xml:space="preserve">Bicolor CUZCO COBRE </t>
  </si>
  <si>
    <t>CANPVS177</t>
  </si>
  <si>
    <t>Bicolor MELANGE 01</t>
  </si>
  <si>
    <t>CANPVS180</t>
  </si>
  <si>
    <t>Bicolor MELANGE 04</t>
  </si>
  <si>
    <t>CANPVS185</t>
  </si>
  <si>
    <t>Bicolor LAVA</t>
  </si>
  <si>
    <t>CANPVS186</t>
  </si>
  <si>
    <t>Bicolor BASALTO</t>
  </si>
  <si>
    <t>CANPVS187</t>
  </si>
  <si>
    <t>Bicolor CACHEMIR</t>
  </si>
  <si>
    <t>CANPVS189</t>
  </si>
  <si>
    <t>Bicolor GRIS 3</t>
  </si>
  <si>
    <t>CANPVS192</t>
  </si>
  <si>
    <t>Bicolor CUZCO GOLD</t>
  </si>
  <si>
    <t>CANPVS202</t>
  </si>
  <si>
    <t>Bicolor CUZCO COPPER</t>
  </si>
  <si>
    <t>CANPVS203</t>
  </si>
  <si>
    <t>Bicolor CURRY</t>
  </si>
  <si>
    <t>CANPVS204</t>
  </si>
  <si>
    <t>Bicolor TEXTIL GRAFITO</t>
  </si>
  <si>
    <t>LUX BLANCO</t>
  </si>
  <si>
    <t>LUX ANTRACITA</t>
  </si>
  <si>
    <t>LUX GRIS NUBE</t>
  </si>
  <si>
    <t>LUX BASALTO SM ZENIT</t>
  </si>
  <si>
    <t>LTC8L0016</t>
  </si>
  <si>
    <t>LUX MAGNOLIA CPMM</t>
  </si>
  <si>
    <t>LTC8L0036</t>
  </si>
  <si>
    <t>LUX NARANJA</t>
  </si>
  <si>
    <t>LTC8L0076</t>
  </si>
  <si>
    <t>LTC8L0086</t>
  </si>
  <si>
    <t>LTC8L0096</t>
  </si>
  <si>
    <t>LUX EUROLINE-2</t>
  </si>
  <si>
    <t>LTC8L0106</t>
  </si>
  <si>
    <t>LUX EUROLINE-3</t>
  </si>
  <si>
    <t>LTC8L0116</t>
  </si>
  <si>
    <t>LUX OLIVO</t>
  </si>
  <si>
    <t>LTC8L0176</t>
  </si>
  <si>
    <t>LUX PISTACHO</t>
  </si>
  <si>
    <t>LTC8L0416</t>
  </si>
  <si>
    <t>LTC8L0686</t>
  </si>
  <si>
    <t>LUX PM-003</t>
  </si>
  <si>
    <t>LTC8L0706</t>
  </si>
  <si>
    <t>LUX TEXTIL PLATA</t>
  </si>
  <si>
    <t>LTC8L0716</t>
  </si>
  <si>
    <t>LTC8L0726</t>
  </si>
  <si>
    <t>LUX CUZCO ORO</t>
  </si>
  <si>
    <t>LTC8L0736</t>
  </si>
  <si>
    <t>LTC8L0786</t>
  </si>
  <si>
    <t>LTC8L1906</t>
  </si>
  <si>
    <t>LUX ROJO-2</t>
  </si>
  <si>
    <t>LTC8L2166</t>
  </si>
  <si>
    <t>LUX BLANCO SM</t>
  </si>
  <si>
    <t>LTC8L2196</t>
  </si>
  <si>
    <t>LUX ANTRACITA PEARL</t>
  </si>
  <si>
    <t>LTC8L2206</t>
  </si>
  <si>
    <t>LTC8L2216</t>
  </si>
  <si>
    <t>LUX BASALTO PEARL</t>
  </si>
  <si>
    <t>LTC8L2246</t>
  </si>
  <si>
    <t>LTC8L2376</t>
  </si>
  <si>
    <t>LUX MELANGE-4</t>
  </si>
  <si>
    <t>LTC8L2396</t>
  </si>
  <si>
    <t>LUX MELANGE-1</t>
  </si>
  <si>
    <t>LTC8L2496</t>
  </si>
  <si>
    <t>LUX BASALTO</t>
  </si>
  <si>
    <t>LTC8L2506</t>
  </si>
  <si>
    <t>LUX LASER BLANCO</t>
  </si>
  <si>
    <t>LTC8L2516</t>
  </si>
  <si>
    <t>LTC8L2696</t>
  </si>
  <si>
    <t>LUX OLMO-003</t>
  </si>
  <si>
    <t>LTC8L2706</t>
  </si>
  <si>
    <t>LUX FRAPPE-003</t>
  </si>
  <si>
    <t>LTC8L2736</t>
  </si>
  <si>
    <t>LTC8L2776</t>
  </si>
  <si>
    <t>LUX LAVA</t>
  </si>
  <si>
    <t>LTC8L2826</t>
  </si>
  <si>
    <t>LUX BLANCO PEARL</t>
  </si>
  <si>
    <t>LTC8L3026</t>
  </si>
  <si>
    <t>LUX CACHEMIR</t>
  </si>
  <si>
    <t>LTC8L3146</t>
  </si>
  <si>
    <t>LUX CUZCO ROYAL GOLD</t>
  </si>
  <si>
    <t>LTC8L3166</t>
  </si>
  <si>
    <t>LTC8L3396</t>
  </si>
  <si>
    <t>LUX ANTRACITA SM ZENIT</t>
  </si>
  <si>
    <t>LTC8L3406</t>
  </si>
  <si>
    <t>LTC8L3436</t>
  </si>
  <si>
    <t>LUX BLANCO MD ZENIT</t>
  </si>
  <si>
    <t>LTC8L3446</t>
  </si>
  <si>
    <t>LUX BASALTO MD ZENIT</t>
  </si>
  <si>
    <t>LTC8L3456</t>
  </si>
  <si>
    <t>LUX CASHEMIRE MD ZENIT</t>
  </si>
  <si>
    <t>LTC8L3476</t>
  </si>
  <si>
    <t>LUX ANTRACITA MD ZENIT</t>
  </si>
  <si>
    <t>LTC8L3486</t>
  </si>
  <si>
    <t>LUX KUBANITE MD ZENIT</t>
  </si>
  <si>
    <t>LTC8L3686</t>
  </si>
  <si>
    <t>LTC8L3696</t>
  </si>
  <si>
    <t>LTC8L3746</t>
  </si>
  <si>
    <t>LUX CASHEMIRE SM ZENIT</t>
  </si>
  <si>
    <t>LTC8L3776</t>
  </si>
  <si>
    <t>LUX TEXTIL GRAFITO</t>
  </si>
  <si>
    <t>LTC8L3786</t>
  </si>
  <si>
    <t>LUX CUZCO COPPER</t>
  </si>
  <si>
    <t>LTC8L3826</t>
  </si>
  <si>
    <t>LUX CURRY</t>
  </si>
  <si>
    <t>VTA810886</t>
  </si>
  <si>
    <t>SYN OLMO-002</t>
  </si>
  <si>
    <t>SYNCRON</t>
  </si>
  <si>
    <t>VTA810896</t>
  </si>
  <si>
    <t>SYN OLMO-003</t>
  </si>
  <si>
    <t>VTA810926</t>
  </si>
  <si>
    <t>SYN FRAPPE-003</t>
  </si>
  <si>
    <t>VTA810966</t>
  </si>
  <si>
    <t>SYN MURATTI-004</t>
  </si>
  <si>
    <t>VTA810996</t>
  </si>
  <si>
    <t xml:space="preserve">SYN LEATHER BASALT </t>
  </si>
  <si>
    <t>VTA811006</t>
  </si>
  <si>
    <t xml:space="preserve">SYN LEATHER DARK GREY </t>
  </si>
  <si>
    <t>VTA811996</t>
  </si>
  <si>
    <t xml:space="preserve">SYN IDA-04-SYN </t>
  </si>
  <si>
    <t>SYN MURATTI-001</t>
  </si>
  <si>
    <t>VTC810906</t>
  </si>
  <si>
    <t>SYN FRAPPE-001</t>
  </si>
  <si>
    <t>VTC810916</t>
  </si>
  <si>
    <t>SYN FRAPPE-002</t>
  </si>
  <si>
    <t>VTC810936</t>
  </si>
  <si>
    <t>VTC810946</t>
  </si>
  <si>
    <t>SYN MURATTI-002</t>
  </si>
  <si>
    <t>VTC810956</t>
  </si>
  <si>
    <t>SYN MURATTI-003</t>
  </si>
  <si>
    <t>VTC810976</t>
  </si>
  <si>
    <t xml:space="preserve">SYN LEATHER WHITE </t>
  </si>
  <si>
    <t>VTC811966</t>
  </si>
  <si>
    <t xml:space="preserve">SYN IDA-01-SYN </t>
  </si>
  <si>
    <t>VTC811976</t>
  </si>
  <si>
    <t xml:space="preserve">SYN IDA-02-SYN </t>
  </si>
  <si>
    <t>VTC811986</t>
  </si>
  <si>
    <t xml:space="preserve">SYN IDA-03-SYN </t>
  </si>
  <si>
    <t>VTC812356</t>
  </si>
  <si>
    <t xml:space="preserve">SYN ICE-CREAM-1 JADE </t>
  </si>
  <si>
    <t>VTC812416</t>
  </si>
  <si>
    <t xml:space="preserve">SYN ICE-CREAM-2 JADE </t>
  </si>
  <si>
    <t>VTC812426</t>
  </si>
  <si>
    <t xml:space="preserve">SYN ICE-CREAM-3 JADE </t>
  </si>
  <si>
    <t>VTC812436</t>
  </si>
  <si>
    <t xml:space="preserve">SYN ICE-CREAM-4 JADE </t>
  </si>
  <si>
    <t>VTC812456</t>
  </si>
  <si>
    <t xml:space="preserve">SYN EVORA-3 JADE </t>
  </si>
  <si>
    <t>VTC812696</t>
  </si>
  <si>
    <t xml:space="preserve">SYN EVORA-4 JADE </t>
  </si>
  <si>
    <t>pending</t>
  </si>
  <si>
    <t>DOOR4SYN</t>
  </si>
  <si>
    <t>Sequence</t>
  </si>
  <si>
    <t>B</t>
  </si>
  <si>
    <t>A</t>
  </si>
  <si>
    <t>LUXE</t>
  </si>
  <si>
    <t>CANABF03003</t>
  </si>
  <si>
    <t>TABACO - PM-003</t>
  </si>
  <si>
    <t>CANABF03014</t>
  </si>
  <si>
    <t>BI TABACO-PM0-003</t>
  </si>
  <si>
    <t>EUROLINE-2  HG</t>
  </si>
  <si>
    <t>AZUL COBALT PE</t>
  </si>
  <si>
    <t>FPP-003 HG</t>
  </si>
  <si>
    <t>BASALTO PE</t>
  </si>
  <si>
    <t>CANBOL0223</t>
  </si>
  <si>
    <t>BI OLIVO HG</t>
  </si>
  <si>
    <t>CANMABI5253</t>
  </si>
  <si>
    <t xml:space="preserve">BI MAGNOLIA HG </t>
  </si>
  <si>
    <t>CANMAG5252</t>
  </si>
  <si>
    <t>CUZCO COBRE-18mm</t>
  </si>
  <si>
    <t>GUAYANA-18mm</t>
  </si>
  <si>
    <t>CUZCO GRAFITT-18mm</t>
  </si>
  <si>
    <t>LUBL2W1820</t>
  </si>
  <si>
    <t>BASALT LEATHER 23MM</t>
  </si>
  <si>
    <t>CANABS4554</t>
  </si>
  <si>
    <t>LEATHER DARK GREY-23mm</t>
  </si>
  <si>
    <t>Blanco PE</t>
  </si>
  <si>
    <t>cant123558</t>
  </si>
  <si>
    <t>CANABS0554</t>
  </si>
  <si>
    <t>ANTRACITA PEARL 23MM</t>
  </si>
  <si>
    <t>LTCM0520</t>
  </si>
  <si>
    <t>MAGNOLIA-SM-18MM</t>
  </si>
  <si>
    <t>LTCVM20152</t>
  </si>
  <si>
    <t>MAGNOLIA-PE-18MM</t>
  </si>
  <si>
    <t>LTVM5411</t>
  </si>
  <si>
    <t>MAGNOLIA MD 18MM</t>
  </si>
  <si>
    <t>LTCHG02235</t>
  </si>
  <si>
    <t>GRIS 02 HG 18MM</t>
  </si>
  <si>
    <t>GRIS-METALIC-ACERO-HG-18mm</t>
  </si>
  <si>
    <t>GRIS 03 - NUBE-MD-18MM</t>
  </si>
  <si>
    <t>LTCMD050220</t>
  </si>
  <si>
    <t>VTC02369452</t>
  </si>
  <si>
    <t>LEATHER-CREAM-18MM</t>
  </si>
  <si>
    <t>VTX0123690</t>
  </si>
  <si>
    <t>OLMO-01-18MM</t>
  </si>
  <si>
    <t>NOT AVALIBLE</t>
  </si>
  <si>
    <t>CANABSB023585</t>
  </si>
  <si>
    <t>BI CUZCO GRAFITO 23MM</t>
  </si>
  <si>
    <t>CANABS25569</t>
  </si>
  <si>
    <t>BI CUZCO SILVER 23MM</t>
  </si>
  <si>
    <t>GRIS 2  HG</t>
  </si>
  <si>
    <t>BI ANTRACITA HG 23MM</t>
  </si>
  <si>
    <t>CASHEMIRE HG 23MM</t>
  </si>
  <si>
    <t>CANABS25896325</t>
  </si>
  <si>
    <t>CUZCO SILVER 23MM</t>
  </si>
  <si>
    <t>CANABS230005</t>
  </si>
  <si>
    <t>GRIS 3  HG NUBE 23MM</t>
  </si>
  <si>
    <t>MAGNOLIA HG 23MM</t>
  </si>
  <si>
    <t>CANBSP0031</t>
  </si>
  <si>
    <t>CANABS25741009</t>
  </si>
  <si>
    <t>MAGNOLIA PE 23MM</t>
  </si>
  <si>
    <t>CANABS2563741</t>
  </si>
  <si>
    <t>GRIS MD 23M</t>
  </si>
  <si>
    <t>LEATHER CREAM 23MM</t>
  </si>
  <si>
    <t>CANABS2451519</t>
  </si>
  <si>
    <t>CANABS2589471</t>
  </si>
  <si>
    <t>BI OLMO HG 23MM</t>
  </si>
  <si>
    <t>EUROLINE-3  HG 23MM</t>
  </si>
  <si>
    <t>COBALTO PE-18mm</t>
  </si>
  <si>
    <t>CAVALUXE</t>
  </si>
  <si>
    <t>CAVASYN</t>
  </si>
  <si>
    <t>FPLUXE</t>
  </si>
  <si>
    <t>FPSYN</t>
  </si>
  <si>
    <t>STD</t>
  </si>
  <si>
    <t>TOSIDELUXE</t>
  </si>
  <si>
    <t>SubModel Name</t>
  </si>
  <si>
    <t>DOOR 5 PIECES</t>
  </si>
  <si>
    <t>DOOR 7 PIECES</t>
  </si>
  <si>
    <t>DOOR 9 PIECES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</si>
  <si>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</si>
  <si>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</si>
  <si>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</si>
  <si>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</si>
  <si>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</si>
  <si>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</si>
  <si>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</si>
  <si>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</si>
  <si>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</si>
  <si>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</si>
  <si>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</si>
  <si>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</si>
  <si>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</si>
  <si>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</si>
  <si>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</si>
  <si>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</si>
  <si>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</si>
  <si>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</si>
  <si>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</si>
  <si>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</si>
  <si>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</si>
  <si>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</si>
  <si>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</si>
  <si>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</si>
  <si>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</si>
  <si>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</si>
  <si>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</si>
  <si>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</si>
  <si>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</si>
  <si>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</si>
  <si>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</si>
  <si>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</si>
  <si>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</si>
  <si>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</si>
  <si>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</si>
  <si>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</si>
  <si>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</si>
  <si>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</si>
  <si>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</si>
  <si>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</si>
  <si>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</si>
  <si>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</si>
  <si>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</si>
  <si>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</si>
  <si>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</si>
  <si>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</si>
  <si>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</si>
  <si>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</si>
  <si>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</si>
  <si>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</si>
  <si>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</si>
  <si>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</si>
  <si>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</si>
  <si>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</si>
  <si>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</si>
  <si>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</si>
  <si>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</si>
  <si>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</si>
  <si>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</si>
  <si>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</si>
  <si>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NUMLIN</t>
  </si>
  <si>
    <t>ORDERNUMBER</t>
  </si>
  <si>
    <t>LENGTH</t>
  </si>
  <si>
    <t>WIDTH</t>
  </si>
  <si>
    <t>THICKNESS</t>
  </si>
  <si>
    <t>COLOR</t>
  </si>
  <si>
    <t>QUANTITY</t>
  </si>
  <si>
    <t>GRAIN</t>
  </si>
  <si>
    <t>DESCRIPTION</t>
  </si>
  <si>
    <t>EDGE1</t>
  </si>
  <si>
    <t>EDGE2</t>
  </si>
  <si>
    <t>EDGE3</t>
  </si>
  <si>
    <t>EDGE4</t>
  </si>
  <si>
    <t>CUSTOMER</t>
  </si>
  <si>
    <t>PONUMBER</t>
  </si>
  <si>
    <t>DATE</t>
  </si>
  <si>
    <t>REFERENCE</t>
  </si>
  <si>
    <t>CAVA DOORS ORDER</t>
  </si>
  <si>
    <t>STRIP 1</t>
  </si>
  <si>
    <t>STRIP2</t>
  </si>
  <si>
    <t>8MM WIDTH</t>
  </si>
  <si>
    <t>8MM HEIGHT</t>
  </si>
  <si>
    <t>QTY</t>
  </si>
  <si>
    <t>LSA4568</t>
  </si>
  <si>
    <t>LSA7456</t>
  </si>
  <si>
    <t>LSA2358</t>
  </si>
  <si>
    <t>CANABF0101</t>
  </si>
  <si>
    <t>OLMO-001 MR</t>
  </si>
  <si>
    <t>Minimo - SF</t>
  </si>
  <si>
    <t>Minimo - SMM</t>
  </si>
  <si>
    <t xml:space="preserve">SOLO CAMBIAR EL MINIMO SF </t>
  </si>
  <si>
    <t>ANV OAK 1</t>
  </si>
  <si>
    <t>ANV OAK 2</t>
  </si>
  <si>
    <t>ANV OAK 3</t>
  </si>
  <si>
    <t>CANABF0189</t>
  </si>
  <si>
    <t>CANABF0191</t>
  </si>
  <si>
    <t>CANABF0190</t>
  </si>
  <si>
    <t>SYN R.FRAPPE 01</t>
  </si>
  <si>
    <t>SYN R.FRAPPE 02</t>
  </si>
  <si>
    <t>SYN R.FRAPPE 03</t>
  </si>
  <si>
    <t>SYN R.MURATTI 1</t>
  </si>
  <si>
    <t>SYN R.MURATTI 2</t>
  </si>
  <si>
    <t>SYN R.MURATTI 3</t>
  </si>
  <si>
    <t>SYN R.MURATTI 4</t>
  </si>
  <si>
    <t>SYN OLMO 2</t>
  </si>
  <si>
    <t>SYN OLMO 3</t>
  </si>
  <si>
    <t>SYN IDA.RUSTIK 1</t>
  </si>
  <si>
    <t>SYN IDA.RUSTIK 2</t>
  </si>
  <si>
    <t>SYN IDA.RUSTIK 3</t>
  </si>
  <si>
    <t>SYN IDA.RUSTIK 4</t>
  </si>
  <si>
    <t>SYN OLMO 1</t>
  </si>
  <si>
    <t>LUXE PE  BLANCO</t>
  </si>
  <si>
    <t>LUXE PE  COBALTO</t>
  </si>
  <si>
    <t>LUXE PE  BASALTO</t>
  </si>
  <si>
    <t>LUXE PE  ANTRACITA</t>
  </si>
  <si>
    <t>LUXE PE  BURDEOS</t>
  </si>
  <si>
    <t>LUXE HG EUROLINE 3</t>
  </si>
  <si>
    <t>LUXE HG TEXTIL PLATA</t>
  </si>
  <si>
    <t>LUXE HG TEXTIL GRAFITO</t>
  </si>
  <si>
    <t>LUXE MD ANTRACITA</t>
  </si>
  <si>
    <t>LUXE MD BASALTO</t>
  </si>
  <si>
    <t>LUXE SM BLANCO</t>
  </si>
  <si>
    <t>LUXE SM CASHMERE</t>
  </si>
  <si>
    <t>LUXE SM BASALTO</t>
  </si>
  <si>
    <t>LUXE SM ANTRACITA</t>
  </si>
  <si>
    <t>SYN ANV OAK 1</t>
  </si>
  <si>
    <t>SYN ANV OAK 2</t>
  </si>
  <si>
    <t>SYN ANV OAK 3</t>
  </si>
  <si>
    <t>SYN ANV Oak 1</t>
  </si>
  <si>
    <t>SYN ANV Oak 2</t>
  </si>
  <si>
    <t>SYN ANV Oak 3</t>
  </si>
  <si>
    <t>3B</t>
  </si>
  <si>
    <t>HG METALLO 1</t>
  </si>
  <si>
    <t>HG METALLO 2</t>
  </si>
  <si>
    <t>HG METALLO 4</t>
  </si>
  <si>
    <t>SYN ART OAK 1</t>
  </si>
  <si>
    <t>SYN ART OAK 2</t>
  </si>
  <si>
    <t>SYN ART OAK 3</t>
  </si>
  <si>
    <t>SYN ART OAK 4</t>
  </si>
  <si>
    <t>SYN COMO ASH 1</t>
  </si>
  <si>
    <t>SYN COMO ASH 2</t>
  </si>
  <si>
    <t>SYN COMO ASH 3</t>
  </si>
  <si>
    <t>SYN OXID 1</t>
  </si>
  <si>
    <t>SYN OXID 2</t>
  </si>
  <si>
    <t>SYN OXID 3</t>
  </si>
  <si>
    <t>SYN OXID 4</t>
  </si>
  <si>
    <t>VTC813326</t>
  </si>
  <si>
    <t>VTC813336</t>
  </si>
  <si>
    <t>VTC813346</t>
  </si>
  <si>
    <t>VTC813296</t>
  </si>
  <si>
    <t>VTC813306</t>
  </si>
  <si>
    <t>VTC813316</t>
  </si>
  <si>
    <t>VTC813446</t>
  </si>
  <si>
    <t>CANABF0198</t>
  </si>
  <si>
    <t>CANABF0199</t>
  </si>
  <si>
    <t>CANABF0200</t>
  </si>
  <si>
    <t>CANABF0201</t>
  </si>
  <si>
    <t>CANABF0202</t>
  </si>
  <si>
    <t>CANABF0203</t>
  </si>
  <si>
    <t>CANABF0204</t>
  </si>
  <si>
    <t>COMO ASH 1</t>
  </si>
  <si>
    <t>COMO ASH 2</t>
  </si>
  <si>
    <t>COMO ASH 3</t>
  </si>
  <si>
    <t>ART OAK 1</t>
  </si>
  <si>
    <t>ART OAK 2</t>
  </si>
  <si>
    <t>ART OAK 3</t>
  </si>
  <si>
    <t>ART OAK 4</t>
  </si>
  <si>
    <t>P</t>
  </si>
  <si>
    <t>SM CASHEMIRE</t>
  </si>
  <si>
    <t>HG  CASHEMIRE</t>
  </si>
  <si>
    <t>SM ANTRACITA</t>
  </si>
  <si>
    <t>SM  BASALTO</t>
  </si>
  <si>
    <t>SM  BLANCO</t>
  </si>
  <si>
    <t>SM  MAGNOLIA</t>
  </si>
  <si>
    <t>SY R.MURATTI 1</t>
  </si>
  <si>
    <t>SY R.MURATTI 2</t>
  </si>
  <si>
    <t>SY R.MURATTI 3</t>
  </si>
  <si>
    <t>SY R.MURATTI 4</t>
  </si>
  <si>
    <t>LUXE HG BLANCO POLAR</t>
  </si>
  <si>
    <t>HG BLANCO POLAR</t>
  </si>
  <si>
    <t>LUXE HG ORIENTAL WHITE</t>
  </si>
  <si>
    <t>LUXE HG ORIENTAL BLACK</t>
  </si>
  <si>
    <t>HG ORIENTAL WHITE</t>
  </si>
  <si>
    <t>HG ORIENTAL BLACK</t>
  </si>
  <si>
    <t>DRAWER</t>
  </si>
  <si>
    <t>DOOR</t>
  </si>
  <si>
    <t>CAVA DOOR P5</t>
  </si>
  <si>
    <t>LUX TEXTIL ORO</t>
  </si>
  <si>
    <t>LUXE HG TEXTIL ORO</t>
  </si>
  <si>
    <t>HG TEXTIL ORO</t>
  </si>
  <si>
    <t>LUXE HG GRIS PERLA</t>
  </si>
  <si>
    <t>LUXE HG GRIS PLOMO</t>
  </si>
  <si>
    <t>LUXE HG AZUL INDIGO</t>
  </si>
  <si>
    <t>LUXE HG ART OAK</t>
  </si>
  <si>
    <t>HG GRIS PERLA</t>
  </si>
  <si>
    <t>HG GRIS PLOMO</t>
  </si>
  <si>
    <t>HG AZUL INDIGO</t>
  </si>
  <si>
    <t>HG ART OAK</t>
  </si>
  <si>
    <t>SM GRIS PERLA</t>
  </si>
  <si>
    <t>SM GRIS PLOMO</t>
  </si>
  <si>
    <t>SM AZUL INDIGO</t>
  </si>
  <si>
    <t>SM GRIS NUBE</t>
  </si>
  <si>
    <t>SM BASALTO</t>
  </si>
  <si>
    <t>SM BLANCO</t>
  </si>
  <si>
    <t>SM ORIENTAL WHITE</t>
  </si>
  <si>
    <t>SM ORIENTAL BLACK</t>
  </si>
  <si>
    <t>LUXE PLUS BLANCO POLAR</t>
  </si>
  <si>
    <t>LUXE PLUS LENOX PLATA</t>
  </si>
  <si>
    <t>LUXE PLUS STEELBOARD ALUMINIO</t>
  </si>
  <si>
    <t>LUXE PLUS STEELBOARD GRAFITO</t>
  </si>
  <si>
    <t>LUXE PLUS AGUA MARINA</t>
  </si>
  <si>
    <t>SYN BLANCO SOLID WOOD</t>
  </si>
  <si>
    <t>SYN CASHMERE SOLID WOOD</t>
  </si>
  <si>
    <t>SYN BASALTO SOLID WOOD</t>
  </si>
  <si>
    <t>SYN GRIS PLOMO SOLID WOOD</t>
  </si>
  <si>
    <t>SYN ANTRACITA SOLID WOOD</t>
  </si>
  <si>
    <t>SYN LAKELAND OAK 1</t>
  </si>
  <si>
    <t>SYN LAKELAND OAK 2</t>
  </si>
  <si>
    <t>SYN LAKELAND OAK 3</t>
  </si>
  <si>
    <t>SYN NOCCE 1</t>
  </si>
  <si>
    <t>SYN NOCCE 2</t>
  </si>
  <si>
    <t>SYN NOCCE 3</t>
  </si>
  <si>
    <t>SYN CAROLINA PINE RUSTIK</t>
  </si>
  <si>
    <t>SM AGUA MARINA</t>
  </si>
  <si>
    <t>SM BLANCO POLAR</t>
  </si>
  <si>
    <t>PLUS</t>
  </si>
  <si>
    <t>PLUS SQ</t>
  </si>
  <si>
    <t>LUXE HG METALLO 1</t>
  </si>
  <si>
    <t>LUXE HG METALLO 2</t>
  </si>
  <si>
    <t>LUXE HG METALLO 4</t>
  </si>
  <si>
    <t>ZENIT SM BLANCO</t>
  </si>
  <si>
    <t>ZENIT SM CASHMERE</t>
  </si>
  <si>
    <t>ZENIT SM GRIS NUBE</t>
  </si>
  <si>
    <t>ZENIT SM BASALTO</t>
  </si>
  <si>
    <t>ZENIT SM ANTRACITA</t>
  </si>
  <si>
    <t>ZENIT SM  ORIENTAL WHITE</t>
  </si>
  <si>
    <t>ZENIT SM  ORIENTAL BLACK</t>
  </si>
  <si>
    <t>ZENIT SM GRIS PERLA</t>
  </si>
  <si>
    <t>ZENIT SM GRIS PLOMO</t>
  </si>
  <si>
    <t>ZENIT SM AZUL INDIGO</t>
  </si>
  <si>
    <t>ZENIT SM AGUA MARINA</t>
  </si>
  <si>
    <t>ZENIT SM BLANCO POLAR</t>
  </si>
  <si>
    <t>SYNC IDA 1</t>
  </si>
  <si>
    <t>SYNC IDA 2</t>
  </si>
  <si>
    <t>SYNC IDA 3</t>
  </si>
  <si>
    <t>SYNC IDA 4</t>
  </si>
  <si>
    <t>SYNC ICE 1</t>
  </si>
  <si>
    <t>SYNC ICE 2</t>
  </si>
  <si>
    <t>SYNC ICE 3</t>
  </si>
  <si>
    <t>SYNC EVORA 3</t>
  </si>
  <si>
    <t>SYNC EVORA 4</t>
  </si>
  <si>
    <t>SYN CAROLINA</t>
  </si>
  <si>
    <t>MS</t>
  </si>
  <si>
    <t>SM CASHMERE</t>
  </si>
  <si>
    <t>BI HG CASHMERE</t>
  </si>
  <si>
    <t>BI HG BLACK</t>
  </si>
  <si>
    <t>LUXE HG BLACK</t>
  </si>
  <si>
    <t>ZENIT SM BLACK</t>
  </si>
  <si>
    <t>LUX BLACK</t>
  </si>
  <si>
    <t>BLACK METALIC HG</t>
  </si>
  <si>
    <t>Bicolor BLACK</t>
  </si>
  <si>
    <t>HG BLACK</t>
  </si>
  <si>
    <t>LUX LASER BLACK</t>
  </si>
  <si>
    <t>BLACK HG</t>
  </si>
  <si>
    <t>LUX BLACK SM ZENIT</t>
  </si>
  <si>
    <t>LUX BLACK PEARL</t>
  </si>
  <si>
    <t>LUX BLACK MD ZENIT</t>
  </si>
  <si>
    <t>LASER BLACK HG</t>
  </si>
  <si>
    <t>HG LASER BLACK</t>
  </si>
  <si>
    <t>BLACK PE 23MM</t>
  </si>
  <si>
    <t>HG PEARL BLACK</t>
  </si>
  <si>
    <t xml:space="preserve">BLACK METALLIC SM </t>
  </si>
  <si>
    <t>METALDECO BLACK</t>
  </si>
  <si>
    <t>BLACK SM  LUX</t>
  </si>
  <si>
    <t>SM  BLACK</t>
  </si>
  <si>
    <t>SYN EVORA 3</t>
  </si>
  <si>
    <t>SYN EVORA 4</t>
  </si>
  <si>
    <t>SYN ICE 1</t>
  </si>
  <si>
    <t>SYN ICE 2</t>
  </si>
  <si>
    <t>SYN ICE 3</t>
  </si>
  <si>
    <t>SYN ICE 4</t>
  </si>
  <si>
    <t>SYN IDA 1</t>
  </si>
  <si>
    <t>SYN IDA 2</t>
  </si>
  <si>
    <t>SYN IDA 3</t>
  </si>
  <si>
    <t>SYN IDA 4</t>
  </si>
  <si>
    <t>SYN  FRAPPE 1</t>
  </si>
  <si>
    <t>SYN  FRAPPE 2</t>
  </si>
  <si>
    <t>SYN FRAPPE 3</t>
  </si>
  <si>
    <t>SYN MURATTI 1</t>
  </si>
  <si>
    <t>SYN MURATTI 2</t>
  </si>
  <si>
    <t>SYN MURATTI 3</t>
  </si>
  <si>
    <t>SYN MURATTI 4</t>
  </si>
  <si>
    <t>SM BLACK</t>
  </si>
  <si>
    <t>Notes (I/A) on Edge type, or others - No notes means 4 side matching color edge</t>
  </si>
  <si>
    <t>Notes (I/A) about: Thickness or others</t>
  </si>
  <si>
    <t>Price Sq/ft</t>
  </si>
  <si>
    <t>SYNC MURATTI 1</t>
  </si>
  <si>
    <t>SYNC MURATTI 2</t>
  </si>
  <si>
    <t>SYNC MURATTI 3</t>
  </si>
  <si>
    <t>SYNC MURATTI 4</t>
  </si>
  <si>
    <t>SYNC FRAPPE 1</t>
  </si>
  <si>
    <t>SYNC FRAPPE 2</t>
  </si>
  <si>
    <t>SYNC FRAPPE 3</t>
  </si>
  <si>
    <t>SYN FRAPPE 1</t>
  </si>
  <si>
    <t>SYN FRAPPE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</si>
</sst>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&quot;$&quot;#,##0.00"/>
    <numFmt numFmtId="165" formatCode="0.00_ "/>
    <numFmt numFmtId="166" formatCode="[$$-C09]#,##0.00"/>
    <numFmt numFmtId="167" formatCode="0.0%"/>
    <numFmt numFmtId="168" formatCode="m/d/yy;@"/>
    <numFmt numFmtId="169" formatCode="0.0"/>
    <numFmt numFmtId="170" formatCode="#,##0.0"/>
    <numFmt numFmtId="171" formatCode="0.000"/>
    <numFmt numFmtId="172" formatCode="0.0000"/>
    <numFmt numFmtId="173" formatCode="000000"/>
    <numFmt numFmtId="174" formatCode="&quot;LH064&quot;######"/>
    <numFmt numFmtId="175" formatCode="mm/dd/yy;@"/>
  </numFmts>
  <fonts count="7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48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3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22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2"/>
      <color theme="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36"/>
      <color rgb="FFFF0000"/>
      <name val="Calibri"/>
      <family val="2"/>
    </font>
    <font>
      <sz val="18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2" tint="-0.8999908444471571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name val="Courier New"/>
      <family val="3"/>
    </font>
    <font>
      <b/>
      <u/>
      <sz val="11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5FA"/>
        <bgColor rgb="FFF2F5FA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21" fillId="0" borderId="0"/>
    <xf numFmtId="0" fontId="60" fillId="0" borderId="0">
      <alignment vertical="center"/>
    </xf>
  </cellStyleXfs>
  <cellXfs count="88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13" fontId="0" fillId="0" borderId="0" xfId="0" applyNumberFormat="1" applyProtection="1"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Protection="1">
      <protection locked="0" hidden="1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 hidden="1"/>
    </xf>
    <xf numFmtId="0" fontId="26" fillId="0" borderId="0" xfId="0" applyFont="1" applyAlignment="1">
      <alignment horizontal="center" vertical="center"/>
    </xf>
    <xf numFmtId="0" fontId="0" fillId="0" borderId="0" xfId="0" quotePrefix="1"/>
    <xf numFmtId="165" fontId="28" fillId="0" borderId="0" xfId="0" quotePrefix="1" applyNumberFormat="1" applyFont="1" applyAlignment="1">
      <alignment vertical="center"/>
    </xf>
    <xf numFmtId="165" fontId="0" fillId="0" borderId="0" xfId="0" quotePrefix="1" applyNumberFormat="1" applyAlignment="1">
      <alignment vertical="center"/>
    </xf>
    <xf numFmtId="13" fontId="0" fillId="0" borderId="0" xfId="0" applyNumberForma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 vertical="center"/>
    </xf>
    <xf numFmtId="2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0" fillId="2" borderId="0" xfId="0" applyFill="1"/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2" fontId="26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0" xfId="0" applyFont="1" applyProtection="1">
      <protection locked="0"/>
    </xf>
    <xf numFmtId="0" fontId="36" fillId="0" borderId="0" xfId="0" applyFont="1" applyAlignment="1" applyProtection="1">
      <alignment horizontal="center" vertical="top"/>
      <protection locked="0"/>
    </xf>
    <xf numFmtId="167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9" fontId="6" fillId="2" borderId="0" xfId="0" applyNumberFormat="1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7" fillId="2" borderId="9" xfId="0" applyFont="1" applyFill="1" applyBorder="1" applyAlignment="1">
      <alignment vertical="top"/>
    </xf>
    <xf numFmtId="0" fontId="37" fillId="2" borderId="10" xfId="0" applyFont="1" applyFill="1" applyBorder="1" applyAlignment="1">
      <alignment vertical="top"/>
    </xf>
    <xf numFmtId="0" fontId="37" fillId="2" borderId="2" xfId="0" applyFont="1" applyFill="1" applyBorder="1"/>
    <xf numFmtId="0" fontId="37" fillId="2" borderId="11" xfId="0" applyFont="1" applyFill="1" applyBorder="1" applyAlignment="1">
      <alignment horizontal="center"/>
    </xf>
    <xf numFmtId="0" fontId="37" fillId="2" borderId="12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1" fontId="0" fillId="0" borderId="0" xfId="0" applyNumberFormat="1"/>
    <xf numFmtId="1" fontId="0" fillId="0" borderId="0" xfId="0" applyNumberFormat="1"/>
    <xf numFmtId="14" fontId="0" fillId="0" borderId="0" xfId="0" applyNumberFormat="1"/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7" fillId="2" borderId="14" xfId="0" applyFont="1" applyFill="1" applyBorder="1"/>
    <xf numFmtId="0" fontId="37" fillId="2" borderId="15" xfId="0" applyFont="1" applyFill="1" applyBorder="1"/>
    <xf numFmtId="0" fontId="37" fillId="2" borderId="17" xfId="0" applyFont="1" applyFill="1" applyBorder="1"/>
    <xf numFmtId="168" fontId="3" fillId="2" borderId="18" xfId="0" applyNumberFormat="1" applyFont="1" applyFill="1" applyBorder="1" applyAlignment="1">
      <alignment horizontal="center" vertical="center" wrapText="1"/>
    </xf>
    <xf numFmtId="168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168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70" fontId="14" fillId="2" borderId="0" xfId="0" applyNumberFormat="1" applyFont="1" applyFill="1" applyAlignment="1">
      <alignment horizontal="center" vertical="center" wrapText="1"/>
    </xf>
    <xf numFmtId="167" fontId="1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4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2" fontId="15" fillId="2" borderId="0" xfId="0" applyNumberFormat="1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 hidden="1"/>
    </xf>
    <xf numFmtId="14" fontId="26" fillId="2" borderId="2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14" fontId="3" fillId="2" borderId="0" xfId="0" applyNumberFormat="1" applyFont="1" applyFill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28" xfId="0" applyNumberFormat="1" applyFont="1" applyFill="1" applyBorder="1" applyAlignment="1">
      <alignment horizontal="right" vertical="center"/>
    </xf>
    <xf numFmtId="0" fontId="37" fillId="2" borderId="29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167" fontId="43" fillId="2" borderId="0" xfId="0" applyNumberFormat="1" applyFont="1" applyFill="1" applyAlignment="1">
      <alignment horizontal="center" vertical="top"/>
    </xf>
    <xf numFmtId="0" fontId="44" fillId="2" borderId="0" xfId="0" applyFont="1" applyFill="1" applyAlignment="1">
      <alignment horizontal="left" vertical="center" wrapText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3" fontId="1" fillId="2" borderId="0" xfId="0" applyNumberFormat="1" applyFont="1" applyFill="1" applyAlignment="1" applyProtection="1">
      <alignment horizontal="center" vertical="center"/>
      <protection hidden="1"/>
    </xf>
    <xf numFmtId="2" fontId="1" fillId="2" borderId="0" xfId="0" applyNumberFormat="1" applyFont="1" applyFill="1" applyAlignment="1" applyProtection="1">
      <alignment horizontal="center" vertical="center"/>
      <protection hidden="1"/>
    </xf>
    <xf numFmtId="164" fontId="1" fillId="2" borderId="0" xfId="0" applyNumberFormat="1" applyFont="1" applyFill="1" applyAlignment="1" applyProtection="1">
      <alignment horizontal="right" vertical="center"/>
      <protection hidden="1"/>
    </xf>
    <xf numFmtId="164" fontId="1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13" fontId="0" fillId="2" borderId="0" xfId="0" applyNumberFormat="1" applyFill="1" applyAlignment="1" applyProtection="1">
      <alignment horizontal="center"/>
      <protection hidden="1"/>
    </xf>
    <xf numFmtId="10" fontId="36" fillId="2" borderId="0" xfId="0" applyNumberFormat="1" applyFont="1" applyFill="1" applyAlignment="1">
      <alignment horizontal="center" vertical="top"/>
    </xf>
    <xf numFmtId="165" fontId="0" fillId="2" borderId="0" xfId="0" quotePrefix="1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7" fillId="0" borderId="3" xfId="0" applyFont="1" applyBorder="1"/>
    <xf numFmtId="0" fontId="36" fillId="2" borderId="0" xfId="0" applyFont="1" applyFill="1" applyAlignment="1">
      <alignment horizontal="center" vertical="top"/>
    </xf>
    <xf numFmtId="0" fontId="0" fillId="2" borderId="0" xfId="0" quotePrefix="1" applyFill="1"/>
    <xf numFmtId="0" fontId="27" fillId="0" borderId="0" xfId="0" applyFont="1"/>
    <xf numFmtId="0" fontId="0" fillId="0" borderId="0" xfId="0" applyProtection="1">
      <protection hidden="1"/>
    </xf>
    <xf numFmtId="1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13" fontId="0" fillId="0" borderId="0" xfId="0" applyNumberForma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45" fillId="2" borderId="0" xfId="0" quotePrefix="1" applyFont="1" applyFill="1" applyAlignment="1">
      <alignment horizontal="center" vertical="center"/>
    </xf>
    <xf numFmtId="0" fontId="0" fillId="0" borderId="0" xfId="0" applyAlignment="1" applyProtection="1">
      <alignment horizontal="right"/>
      <protection hidden="1"/>
    </xf>
    <xf numFmtId="167" fontId="42" fillId="0" borderId="2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69" fontId="1" fillId="2" borderId="28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67" fontId="1" fillId="0" borderId="28" xfId="0" applyNumberFormat="1" applyFont="1" applyBorder="1" applyAlignment="1">
      <alignment horizontal="center" vertical="center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5" borderId="0" xfId="0" applyFill="1" applyProtection="1">
      <protection hidden="1"/>
    </xf>
    <xf numFmtId="0" fontId="21" fillId="0" borderId="0" xfId="2" applyProtection="1"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26" fillId="0" borderId="33" xfId="0" applyFont="1" applyBorder="1" applyAlignment="1" applyProtection="1">
      <alignment vertical="center"/>
      <protection hidden="1"/>
    </xf>
    <xf numFmtId="2" fontId="0" fillId="0" borderId="32" xfId="0" applyNumberFormat="1" applyBorder="1" applyAlignment="1" applyProtection="1">
      <alignment horizontal="right" vertical="center"/>
      <protection hidden="1"/>
    </xf>
    <xf numFmtId="2" fontId="26" fillId="0" borderId="33" xfId="0" applyNumberFormat="1" applyFont="1" applyBorder="1" applyAlignment="1" applyProtection="1">
      <alignment horizontal="right" vertical="center"/>
      <protection hidden="1"/>
    </xf>
    <xf numFmtId="2" fontId="0" fillId="0" borderId="33" xfId="0" applyNumberFormat="1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33" xfId="0" applyBorder="1" applyAlignment="1" applyProtection="1">
      <alignment horizontal="right" vertical="center"/>
      <protection hidden="1"/>
    </xf>
    <xf numFmtId="0" fontId="48" fillId="0" borderId="33" xfId="0" applyFont="1" applyBorder="1" applyAlignment="1" applyProtection="1">
      <alignment horizontal="center" vertical="center"/>
      <protection hidden="1"/>
    </xf>
    <xf numFmtId="0" fontId="49" fillId="0" borderId="3" xfId="0" quotePrefix="1" applyFont="1" applyBorder="1" applyAlignment="1" applyProtection="1">
      <alignment horizontal="center" vertical="center"/>
      <protection hidden="1"/>
    </xf>
    <xf numFmtId="0" fontId="48" fillId="0" borderId="3" xfId="0" applyFont="1" applyBorder="1" applyAlignment="1" applyProtection="1">
      <alignment horizontal="center" vertical="center"/>
      <protection hidden="1"/>
    </xf>
    <xf numFmtId="0" fontId="0" fillId="0" borderId="3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39" xfId="0" applyBorder="1" applyProtection="1">
      <protection hidden="1"/>
    </xf>
    <xf numFmtId="0" fontId="0" fillId="0" borderId="40" xfId="0" applyBorder="1" applyProtection="1"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26" fillId="0" borderId="42" xfId="0" applyFont="1" applyBorder="1" applyAlignment="1" applyProtection="1">
      <alignment vertical="center"/>
      <protection hidden="1"/>
    </xf>
    <xf numFmtId="2" fontId="0" fillId="0" borderId="41" xfId="0" applyNumberFormat="1" applyBorder="1" applyAlignment="1" applyProtection="1">
      <alignment horizontal="right" vertical="center"/>
      <protection hidden="1"/>
    </xf>
    <xf numFmtId="2" fontId="0" fillId="0" borderId="42" xfId="0" applyNumberFormat="1" applyBorder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 horizontal="right" vertical="center"/>
      <protection hidden="1"/>
    </xf>
    <xf numFmtId="0" fontId="48" fillId="0" borderId="42" xfId="0" applyFont="1" applyBorder="1" applyAlignment="1" applyProtection="1">
      <alignment horizontal="center" vertical="center"/>
      <protection hidden="1"/>
    </xf>
    <xf numFmtId="0" fontId="49" fillId="0" borderId="0" xfId="0" quotePrefix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0" fillId="0" borderId="31" xfId="0" applyBorder="1" applyProtection="1">
      <protection hidden="1"/>
    </xf>
    <xf numFmtId="0" fontId="0" fillId="0" borderId="43" xfId="0" applyBorder="1" applyProtection="1">
      <protection hidden="1"/>
    </xf>
    <xf numFmtId="13" fontId="0" fillId="0" borderId="44" xfId="0" applyNumberFormat="1" applyBorder="1" applyProtection="1">
      <protection hidden="1"/>
    </xf>
    <xf numFmtId="13" fontId="0" fillId="0" borderId="45" xfId="0" applyNumberFormat="1" applyBorder="1" applyProtection="1">
      <protection hidden="1"/>
    </xf>
    <xf numFmtId="0" fontId="23" fillId="6" borderId="46" xfId="2" applyFont="1" applyFill="1" applyBorder="1" applyAlignment="1" applyProtection="1">
      <alignment horizontal="center" vertical="center"/>
      <protection hidden="1"/>
    </xf>
    <xf numFmtId="0" fontId="23" fillId="6" borderId="47" xfId="2" applyFont="1" applyFill="1" applyBorder="1" applyAlignment="1" applyProtection="1">
      <alignment horizontal="center" vertical="center"/>
      <protection hidden="1"/>
    </xf>
    <xf numFmtId="0" fontId="23" fillId="6" borderId="11" xfId="2" applyFont="1" applyFill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vertical="center" wrapText="1"/>
      <protection hidden="1"/>
    </xf>
    <xf numFmtId="13" fontId="0" fillId="8" borderId="32" xfId="0" applyNumberFormat="1" applyFill="1" applyBorder="1" applyProtection="1">
      <protection hidden="1"/>
    </xf>
    <xf numFmtId="2" fontId="26" fillId="0" borderId="42" xfId="0" applyNumberFormat="1" applyFont="1" applyBorder="1" applyAlignment="1" applyProtection="1">
      <alignment horizontal="right" vertical="center"/>
      <protection hidden="1"/>
    </xf>
    <xf numFmtId="0" fontId="0" fillId="0" borderId="44" xfId="0" applyBorder="1" applyProtection="1">
      <protection hidden="1"/>
    </xf>
    <xf numFmtId="0" fontId="0" fillId="8" borderId="41" xfId="0" applyFill="1" applyBorder="1" applyProtection="1">
      <protection hidden="1"/>
    </xf>
    <xf numFmtId="0" fontId="21" fillId="9" borderId="38" xfId="2" applyFill="1" applyBorder="1" applyAlignment="1" applyProtection="1">
      <alignment horizontal="center" vertical="center"/>
      <protection hidden="1"/>
    </xf>
    <xf numFmtId="2" fontId="21" fillId="9" borderId="18" xfId="2" applyNumberFormat="1" applyFill="1" applyBorder="1" applyAlignment="1" applyProtection="1">
      <alignment horizontal="center" vertical="center"/>
      <protection hidden="1"/>
    </xf>
    <xf numFmtId="2" fontId="21" fillId="9" borderId="48" xfId="2" applyNumberFormat="1" applyFill="1" applyBorder="1" applyAlignment="1" applyProtection="1">
      <alignment horizontal="center" vertical="center"/>
      <protection hidden="1"/>
    </xf>
    <xf numFmtId="0" fontId="21" fillId="9" borderId="27" xfId="2" applyFill="1" applyBorder="1" applyAlignment="1" applyProtection="1">
      <alignment horizontal="center" vertical="center"/>
      <protection hidden="1"/>
    </xf>
    <xf numFmtId="2" fontId="21" fillId="9" borderId="1" xfId="2" applyNumberFormat="1" applyFill="1" applyBorder="1" applyAlignment="1" applyProtection="1">
      <alignment horizontal="center" vertical="center"/>
      <protection hidden="1"/>
    </xf>
    <xf numFmtId="2" fontId="21" fillId="9" borderId="5" xfId="2" applyNumberFormat="1" applyFill="1" applyBorder="1" applyAlignment="1" applyProtection="1">
      <alignment horizontal="center" vertical="center"/>
      <protection hidden="1"/>
    </xf>
    <xf numFmtId="0" fontId="0" fillId="0" borderId="49" xfId="0" applyBorder="1" applyProtection="1">
      <protection hidden="1"/>
    </xf>
    <xf numFmtId="0" fontId="21" fillId="0" borderId="50" xfId="2" applyBorder="1" applyAlignment="1" applyProtection="1">
      <alignment horizontal="center" vertical="center"/>
      <protection hidden="1"/>
    </xf>
    <xf numFmtId="2" fontId="21" fillId="0" borderId="2" xfId="2" applyNumberFormat="1" applyBorder="1" applyAlignment="1" applyProtection="1">
      <alignment horizontal="center" vertical="center"/>
      <protection hidden="1"/>
    </xf>
    <xf numFmtId="2" fontId="21" fillId="0" borderId="51" xfId="2" applyNumberFormat="1" applyBorder="1" applyAlignment="1" applyProtection="1">
      <alignment horizontal="center" vertical="center"/>
      <protection hidden="1"/>
    </xf>
    <xf numFmtId="0" fontId="0" fillId="0" borderId="52" xfId="0" applyBorder="1" applyProtection="1">
      <protection hidden="1"/>
    </xf>
    <xf numFmtId="0" fontId="18" fillId="0" borderId="27" xfId="0" applyFont="1" applyBorder="1" applyProtection="1">
      <protection hidden="1"/>
    </xf>
    <xf numFmtId="0" fontId="21" fillId="0" borderId="38" xfId="2" applyBorder="1" applyAlignment="1" applyProtection="1">
      <alignment horizontal="center" vertical="center"/>
      <protection hidden="1"/>
    </xf>
    <xf numFmtId="2" fontId="21" fillId="0" borderId="18" xfId="2" applyNumberFormat="1" applyBorder="1" applyAlignment="1" applyProtection="1">
      <alignment horizontal="center" vertical="center"/>
      <protection hidden="1"/>
    </xf>
    <xf numFmtId="2" fontId="21" fillId="0" borderId="48" xfId="2" applyNumberFormat="1" applyBorder="1" applyAlignment="1" applyProtection="1">
      <alignment horizontal="center" vertical="center"/>
      <protection hidden="1"/>
    </xf>
    <xf numFmtId="0" fontId="49" fillId="0" borderId="42" xfId="0" quotePrefix="1" applyFont="1" applyBorder="1" applyAlignment="1" applyProtection="1">
      <alignment horizontal="center" vertical="center"/>
      <protection hidden="1"/>
    </xf>
    <xf numFmtId="0" fontId="21" fillId="0" borderId="31" xfId="2" applyBorder="1" applyAlignment="1" applyProtection="1">
      <alignment horizontal="center" vertical="center"/>
      <protection hidden="1"/>
    </xf>
    <xf numFmtId="0" fontId="21" fillId="9" borderId="31" xfId="2" applyFill="1" applyBorder="1" applyAlignment="1" applyProtection="1">
      <alignment horizontal="center" vertical="center"/>
      <protection hidden="1"/>
    </xf>
    <xf numFmtId="0" fontId="31" fillId="0" borderId="0" xfId="2" applyFont="1" applyAlignment="1" applyProtection="1">
      <alignment vertical="center"/>
      <protection hidden="1"/>
    </xf>
    <xf numFmtId="0" fontId="24" fillId="0" borderId="0" xfId="2" applyFont="1" applyAlignment="1" applyProtection="1">
      <alignment vertical="center"/>
      <protection hidden="1"/>
    </xf>
    <xf numFmtId="0" fontId="32" fillId="0" borderId="0" xfId="2" applyFont="1" applyAlignment="1" applyProtection="1">
      <alignment vertical="center"/>
      <protection hidden="1"/>
    </xf>
    <xf numFmtId="0" fontId="33" fillId="6" borderId="1" xfId="2" applyFont="1" applyFill="1" applyBorder="1" applyAlignment="1" applyProtection="1">
      <alignment horizontal="center" vertical="center"/>
      <protection hidden="1"/>
    </xf>
    <xf numFmtId="0" fontId="26" fillId="2" borderId="1" xfId="2" applyFont="1" applyFill="1" applyBorder="1" applyAlignment="1" applyProtection="1">
      <alignment horizontal="left" vertical="center"/>
      <protection hidden="1"/>
    </xf>
    <xf numFmtId="2" fontId="26" fillId="0" borderId="1" xfId="2" applyNumberFormat="1" applyFont="1" applyBorder="1" applyAlignment="1" applyProtection="1">
      <alignment horizontal="center" vertical="center"/>
      <protection hidden="1"/>
    </xf>
    <xf numFmtId="0" fontId="50" fillId="0" borderId="50" xfId="0" applyFont="1" applyBorder="1" applyProtection="1">
      <protection hidden="1"/>
    </xf>
    <xf numFmtId="0" fontId="50" fillId="0" borderId="26" xfId="0" applyFont="1" applyBorder="1" applyProtection="1">
      <protection hidden="1"/>
    </xf>
    <xf numFmtId="2" fontId="26" fillId="0" borderId="1" xfId="2" applyNumberFormat="1" applyFont="1" applyBorder="1" applyAlignment="1" applyProtection="1">
      <alignment horizontal="center"/>
      <protection hidden="1"/>
    </xf>
    <xf numFmtId="2" fontId="26" fillId="7" borderId="1" xfId="2" applyNumberFormat="1" applyFont="1" applyFill="1" applyBorder="1" applyAlignment="1" applyProtection="1">
      <alignment horizontal="center"/>
      <protection hidden="1"/>
    </xf>
    <xf numFmtId="0" fontId="26" fillId="0" borderId="53" xfId="0" applyFont="1" applyBorder="1" applyAlignment="1" applyProtection="1">
      <alignment vertical="center"/>
      <protection hidden="1"/>
    </xf>
    <xf numFmtId="0" fontId="26" fillId="0" borderId="54" xfId="0" applyFont="1" applyBorder="1" applyAlignment="1" applyProtection="1">
      <alignment vertical="center"/>
      <protection hidden="1"/>
    </xf>
    <xf numFmtId="2" fontId="0" fillId="0" borderId="53" xfId="0" applyNumberFormat="1" applyBorder="1" applyAlignment="1" applyProtection="1">
      <alignment horizontal="right" vertical="center"/>
      <protection hidden="1"/>
    </xf>
    <xf numFmtId="2" fontId="26" fillId="0" borderId="54" xfId="0" applyNumberFormat="1" applyFont="1" applyBorder="1" applyAlignment="1" applyProtection="1">
      <alignment horizontal="right" vertical="center"/>
      <protection hidden="1"/>
    </xf>
    <xf numFmtId="2" fontId="0" fillId="0" borderId="54" xfId="0" applyNumberFormat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right"/>
      <protection hidden="1"/>
    </xf>
    <xf numFmtId="0" fontId="0" fillId="0" borderId="54" xfId="0" applyBorder="1" applyAlignment="1" applyProtection="1">
      <alignment horizontal="right" vertical="center"/>
      <protection hidden="1"/>
    </xf>
    <xf numFmtId="0" fontId="49" fillId="0" borderId="54" xfId="0" quotePrefix="1" applyFont="1" applyBorder="1" applyAlignment="1" applyProtection="1">
      <alignment horizontal="center" vertical="center"/>
      <protection hidden="1"/>
    </xf>
    <xf numFmtId="0" fontId="48" fillId="0" borderId="24" xfId="0" applyFont="1" applyBorder="1" applyAlignment="1" applyProtection="1">
      <alignment horizontal="center" vertical="center"/>
      <protection hidden="1"/>
    </xf>
    <xf numFmtId="0" fontId="49" fillId="0" borderId="24" xfId="0" quotePrefix="1" applyFont="1" applyBorder="1" applyAlignment="1" applyProtection="1">
      <alignment horizontal="center" vertical="center"/>
      <protection hidden="1"/>
    </xf>
    <xf numFmtId="0" fontId="34" fillId="0" borderId="0" xfId="2" applyFont="1" applyAlignment="1" applyProtection="1">
      <alignment horizontal="left"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vertical="center"/>
      <protection hidden="1"/>
    </xf>
    <xf numFmtId="2" fontId="0" fillId="0" borderId="0" xfId="0" applyNumberFormat="1" applyAlignment="1" applyProtection="1">
      <alignment horizontal="right" vertical="center"/>
      <protection hidden="1"/>
    </xf>
    <xf numFmtId="0" fontId="26" fillId="0" borderId="1" xfId="2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48" fillId="0" borderId="54" xfId="0" applyFont="1" applyBorder="1" applyAlignment="1" applyProtection="1">
      <alignment horizontal="center" vertical="center"/>
      <protection hidden="1"/>
    </xf>
    <xf numFmtId="0" fontId="49" fillId="0" borderId="33" xfId="0" quotePrefix="1" applyFont="1" applyBorder="1" applyAlignment="1" applyProtection="1">
      <alignment horizontal="center" vertical="center"/>
      <protection hidden="1"/>
    </xf>
    <xf numFmtId="0" fontId="23" fillId="6" borderId="26" xfId="2" applyFont="1" applyFill="1" applyBorder="1" applyAlignment="1" applyProtection="1">
      <alignment horizontal="center" vertical="center"/>
      <protection hidden="1"/>
    </xf>
    <xf numFmtId="0" fontId="23" fillId="6" borderId="6" xfId="2" applyFont="1" applyFill="1" applyBorder="1" applyAlignment="1" applyProtection="1">
      <alignment horizontal="center" vertical="center"/>
      <protection hidden="1"/>
    </xf>
    <xf numFmtId="0" fontId="23" fillId="6" borderId="7" xfId="2" applyFont="1" applyFill="1" applyBorder="1" applyAlignment="1" applyProtection="1">
      <alignment horizontal="center" vertical="center"/>
      <protection hidden="1"/>
    </xf>
    <xf numFmtId="0" fontId="21" fillId="2" borderId="27" xfId="2" applyFill="1" applyBorder="1" applyAlignment="1" applyProtection="1">
      <alignment horizontal="center" vertical="center"/>
      <protection hidden="1"/>
    </xf>
    <xf numFmtId="2" fontId="21" fillId="2" borderId="1" xfId="2" applyNumberFormat="1" applyFill="1" applyBorder="1" applyAlignment="1" applyProtection="1">
      <alignment horizontal="center" vertical="center"/>
      <protection hidden="1"/>
    </xf>
    <xf numFmtId="2" fontId="21" fillId="2" borderId="5" xfId="2" applyNumberFormat="1" applyFill="1" applyBorder="1" applyAlignment="1" applyProtection="1">
      <alignment horizontal="center" vertical="center"/>
      <protection hidden="1"/>
    </xf>
    <xf numFmtId="2" fontId="21" fillId="9" borderId="28" xfId="2" applyNumberFormat="1" applyFill="1" applyBorder="1" applyAlignment="1" applyProtection="1">
      <alignment horizontal="center" vertical="center"/>
      <protection hidden="1"/>
    </xf>
    <xf numFmtId="2" fontId="21" fillId="9" borderId="8" xfId="2" applyNumberFormat="1" applyFill="1" applyBorder="1" applyAlignment="1" applyProtection="1">
      <alignment horizontal="center" vertical="center"/>
      <protection hidden="1"/>
    </xf>
    <xf numFmtId="0" fontId="26" fillId="7" borderId="1" xfId="2" applyFont="1" applyFill="1" applyBorder="1" applyAlignment="1" applyProtection="1">
      <alignment horizontal="center" vertical="center"/>
      <protection hidden="1"/>
    </xf>
    <xf numFmtId="0" fontId="26" fillId="0" borderId="1" xfId="2" applyFont="1" applyBorder="1" applyAlignment="1" applyProtection="1">
      <alignment horizontal="left" vertical="center"/>
      <protection hidden="1"/>
    </xf>
    <xf numFmtId="0" fontId="26" fillId="2" borderId="55" xfId="2" applyFont="1" applyFill="1" applyBorder="1" applyAlignment="1" applyProtection="1">
      <alignment horizontal="left" vertical="center"/>
      <protection hidden="1"/>
    </xf>
    <xf numFmtId="0" fontId="26" fillId="2" borderId="56" xfId="2" applyFont="1" applyFill="1" applyBorder="1" applyAlignment="1" applyProtection="1">
      <alignment horizontal="left" vertical="center"/>
      <protection hidden="1"/>
    </xf>
    <xf numFmtId="0" fontId="31" fillId="2" borderId="0" xfId="2" applyFont="1" applyFill="1" applyProtection="1">
      <protection hidden="1"/>
    </xf>
    <xf numFmtId="0" fontId="32" fillId="2" borderId="0" xfId="2" applyFont="1" applyFill="1" applyAlignment="1" applyProtection="1">
      <alignment horizontal="right" vertical="top"/>
      <protection hidden="1"/>
    </xf>
    <xf numFmtId="0" fontId="0" fillId="0" borderId="27" xfId="0" applyBorder="1" applyProtection="1">
      <protection hidden="1"/>
    </xf>
    <xf numFmtId="2" fontId="21" fillId="9" borderId="18" xfId="2" applyNumberFormat="1" applyFill="1" applyBorder="1" applyAlignment="1" applyProtection="1">
      <alignment horizontal="center"/>
      <protection hidden="1"/>
    </xf>
    <xf numFmtId="2" fontId="21" fillId="9" borderId="48" xfId="2" applyNumberFormat="1" applyFill="1" applyBorder="1" applyAlignment="1" applyProtection="1">
      <alignment horizontal="center"/>
      <protection hidden="1"/>
    </xf>
    <xf numFmtId="2" fontId="21" fillId="9" borderId="1" xfId="2" applyNumberFormat="1" applyFill="1" applyBorder="1" applyAlignment="1" applyProtection="1">
      <alignment horizontal="center"/>
      <protection hidden="1"/>
    </xf>
    <xf numFmtId="2" fontId="21" fillId="9" borderId="5" xfId="2" applyNumberFormat="1" applyFill="1" applyBorder="1" applyAlignment="1" applyProtection="1">
      <alignment horizontal="center"/>
      <protection hidden="1"/>
    </xf>
    <xf numFmtId="2" fontId="21" fillId="2" borderId="2" xfId="2" applyNumberFormat="1" applyFill="1" applyBorder="1" applyAlignment="1" applyProtection="1">
      <alignment horizontal="center"/>
      <protection hidden="1"/>
    </xf>
    <xf numFmtId="2" fontId="21" fillId="2" borderId="51" xfId="2" applyNumberFormat="1" applyFill="1" applyBorder="1" applyAlignment="1" applyProtection="1">
      <alignment horizontal="center"/>
      <protection hidden="1"/>
    </xf>
    <xf numFmtId="0" fontId="18" fillId="0" borderId="50" xfId="0" applyFont="1" applyBorder="1" applyProtection="1">
      <protection hidden="1"/>
    </xf>
    <xf numFmtId="0" fontId="21" fillId="9" borderId="50" xfId="2" applyFill="1" applyBorder="1" applyAlignment="1" applyProtection="1">
      <alignment horizontal="center" vertical="center"/>
      <protection hidden="1"/>
    </xf>
    <xf numFmtId="2" fontId="21" fillId="9" borderId="2" xfId="2" applyNumberFormat="1" applyFill="1" applyBorder="1" applyAlignment="1" applyProtection="1">
      <alignment horizontal="center"/>
      <protection hidden="1"/>
    </xf>
    <xf numFmtId="2" fontId="21" fillId="9" borderId="51" xfId="2" applyNumberFormat="1" applyFill="1" applyBorder="1" applyAlignment="1" applyProtection="1">
      <alignment horizontal="center"/>
      <protection hidden="1"/>
    </xf>
    <xf numFmtId="0" fontId="26" fillId="0" borderId="41" xfId="0" applyFont="1" applyBorder="1" applyAlignment="1" applyProtection="1">
      <alignment horizontal="left" vertical="center"/>
      <protection hidden="1"/>
    </xf>
    <xf numFmtId="0" fontId="26" fillId="0" borderId="33" xfId="0" applyFont="1" applyBorder="1" applyAlignment="1" applyProtection="1">
      <alignment horizontal="right" vertical="center"/>
      <protection hidden="1"/>
    </xf>
    <xf numFmtId="0" fontId="26" fillId="0" borderId="3" xfId="0" applyFont="1" applyBorder="1" applyAlignment="1" applyProtection="1">
      <alignment horizontal="right" vertical="center"/>
      <protection hidden="1"/>
    </xf>
    <xf numFmtId="0" fontId="0" fillId="0" borderId="26" xfId="0" applyBorder="1" applyProtection="1">
      <protection hidden="1"/>
    </xf>
    <xf numFmtId="0" fontId="26" fillId="0" borderId="42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50" fillId="0" borderId="27" xfId="0" applyFont="1" applyBorder="1" applyProtection="1">
      <protection hidden="1"/>
    </xf>
    <xf numFmtId="0" fontId="26" fillId="0" borderId="53" xfId="0" applyFont="1" applyBorder="1" applyAlignment="1" applyProtection="1">
      <alignment horizontal="left" vertical="center"/>
      <protection hidden="1"/>
    </xf>
    <xf numFmtId="0" fontId="26" fillId="0" borderId="54" xfId="0" applyFont="1" applyBorder="1" applyAlignment="1" applyProtection="1">
      <alignment horizontal="right" vertical="center"/>
      <protection hidden="1"/>
    </xf>
    <xf numFmtId="0" fontId="26" fillId="0" borderId="24" xfId="0" applyFont="1" applyBorder="1" applyAlignment="1" applyProtection="1">
      <alignment horizontal="right" vertical="center"/>
      <protection hidden="1"/>
    </xf>
    <xf numFmtId="0" fontId="50" fillId="0" borderId="31" xfId="0" applyFont="1" applyBorder="1" applyProtection="1">
      <protection hidden="1"/>
    </xf>
    <xf numFmtId="0" fontId="50" fillId="0" borderId="38" xfId="0" applyFont="1" applyBorder="1" applyProtection="1">
      <protection hidden="1"/>
    </xf>
    <xf numFmtId="2" fontId="21" fillId="9" borderId="28" xfId="2" applyNumberFormat="1" applyFill="1" applyBorder="1" applyAlignment="1" applyProtection="1">
      <alignment horizontal="center"/>
      <protection hidden="1"/>
    </xf>
    <xf numFmtId="2" fontId="21" fillId="9" borderId="8" xfId="2" applyNumberFormat="1" applyFill="1" applyBorder="1" applyAlignment="1" applyProtection="1">
      <alignment horizontal="center"/>
      <protection hidden="1"/>
    </xf>
    <xf numFmtId="0" fontId="31" fillId="0" borderId="0" xfId="2" applyFont="1" applyProtection="1">
      <protection hidden="1"/>
    </xf>
    <xf numFmtId="0" fontId="32" fillId="0" borderId="0" xfId="2" applyFont="1" applyAlignment="1" applyProtection="1">
      <alignment horizontal="right" vertical="top"/>
      <protection hidden="1"/>
    </xf>
    <xf numFmtId="0" fontId="25" fillId="0" borderId="26" xfId="2" applyFont="1" applyBorder="1" applyAlignment="1" applyProtection="1">
      <alignment horizontal="left" vertical="center" wrapText="1"/>
      <protection hidden="1"/>
    </xf>
    <xf numFmtId="0" fontId="21" fillId="0" borderId="7" xfId="2" applyBorder="1" applyAlignment="1" applyProtection="1">
      <alignment horizontal="center"/>
      <protection hidden="1"/>
    </xf>
    <xf numFmtId="0" fontId="25" fillId="0" borderId="27" xfId="2" applyFont="1" applyBorder="1" applyAlignment="1" applyProtection="1">
      <alignment horizontal="left" vertical="center" wrapText="1"/>
      <protection hidden="1"/>
    </xf>
    <xf numFmtId="0" fontId="21" fillId="0" borderId="5" xfId="2" applyBorder="1" applyAlignment="1" applyProtection="1">
      <alignment horizontal="center"/>
      <protection hidden="1"/>
    </xf>
    <xf numFmtId="0" fontId="25" fillId="0" borderId="31" xfId="2" applyFont="1" applyBorder="1" applyAlignment="1" applyProtection="1">
      <alignment horizontal="left" vertical="center" wrapText="1"/>
      <protection hidden="1"/>
    </xf>
    <xf numFmtId="0" fontId="21" fillId="0" borderId="8" xfId="2" applyBorder="1" applyAlignment="1" applyProtection="1">
      <alignment horizontal="center"/>
      <protection hidden="1"/>
    </xf>
    <xf numFmtId="0" fontId="21" fillId="0" borderId="0" xfId="2" applyAlignment="1" applyProtection="1">
      <alignment horizontal="right"/>
      <protection hidden="1"/>
    </xf>
    <xf numFmtId="0" fontId="51" fillId="0" borderId="31" xfId="0" applyFont="1" applyBorder="1" applyAlignment="1" applyProtection="1">
      <alignment horizontal="left"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horizontal="left" vertical="center"/>
      <protection hidden="1"/>
    </xf>
    <xf numFmtId="0" fontId="0" fillId="5" borderId="9" xfId="0" applyFill="1" applyBorder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2" borderId="0" xfId="0" applyFont="1" applyFill="1" applyAlignment="1">
      <alignment vertical="center" wrapText="1"/>
    </xf>
    <xf numFmtId="0" fontId="27" fillId="2" borderId="0" xfId="0" applyFont="1" applyFill="1"/>
    <xf numFmtId="165" fontId="28" fillId="2" borderId="0" xfId="0" quotePrefix="1" applyNumberFormat="1" applyFont="1" applyFill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59" fillId="0" borderId="0" xfId="0" applyFont="1" applyAlignment="1" applyProtection="1">
      <alignment horizontal="left"/>
      <protection locked="0"/>
    </xf>
    <xf numFmtId="0" fontId="61" fillId="0" borderId="0" xfId="0" applyFont="1" applyAlignment="1" applyProtection="1">
      <alignment horizontal="left"/>
      <protection locked="0"/>
    </xf>
    <xf numFmtId="0" fontId="51" fillId="0" borderId="42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46" fillId="10" borderId="0" xfId="0" applyFont="1" applyFill="1" applyAlignment="1" applyProtection="1">
      <alignment horizontal="left"/>
      <protection locked="0"/>
    </xf>
    <xf numFmtId="0" fontId="64" fillId="10" borderId="26" xfId="0" applyFont="1" applyFill="1" applyBorder="1" applyProtection="1">
      <protection hidden="1"/>
    </xf>
    <xf numFmtId="0" fontId="64" fillId="10" borderId="7" xfId="0" applyFont="1" applyFill="1" applyBorder="1"/>
    <xf numFmtId="0" fontId="64" fillId="10" borderId="27" xfId="0" applyFont="1" applyFill="1" applyBorder="1" applyProtection="1">
      <protection hidden="1"/>
    </xf>
    <xf numFmtId="0" fontId="64" fillId="10" borderId="5" xfId="0" applyFont="1" applyFill="1" applyBorder="1"/>
    <xf numFmtId="0" fontId="64" fillId="10" borderId="31" xfId="0" applyFont="1" applyFill="1" applyBorder="1" applyProtection="1">
      <protection hidden="1"/>
    </xf>
    <xf numFmtId="0" fontId="64" fillId="10" borderId="8" xfId="0" applyFont="1" applyFill="1" applyBorder="1"/>
    <xf numFmtId="0" fontId="8" fillId="0" borderId="47" xfId="0" applyFont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46" fillId="12" borderId="0" xfId="0" applyFont="1" applyFill="1" applyAlignment="1" applyProtection="1">
      <alignment horizontal="left"/>
      <protection locked="0"/>
    </xf>
    <xf numFmtId="168" fontId="3" fillId="4" borderId="20" xfId="0" applyNumberFormat="1" applyFont="1" applyFill="1" applyBorder="1" applyAlignment="1" applyProtection="1">
      <alignment vertical="center" wrapText="1"/>
      <protection locked="0"/>
    </xf>
    <xf numFmtId="168" fontId="3" fillId="4" borderId="19" xfId="0" applyNumberFormat="1" applyFont="1" applyFill="1" applyBorder="1" applyAlignment="1" applyProtection="1">
      <alignment vertical="center" wrapText="1"/>
      <protection locked="0"/>
    </xf>
    <xf numFmtId="1" fontId="6" fillId="13" borderId="15" xfId="0" applyNumberFormat="1" applyFont="1" applyFill="1" applyBorder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37" fillId="13" borderId="15" xfId="0" applyFont="1" applyFill="1" applyBorder="1"/>
    <xf numFmtId="168" fontId="3" fillId="13" borderId="21" xfId="0" applyNumberFormat="1" applyFont="1" applyFill="1" applyBorder="1" applyAlignment="1" applyProtection="1">
      <alignment vertical="center" wrapText="1"/>
      <protection locked="0"/>
    </xf>
    <xf numFmtId="14" fontId="3" fillId="13" borderId="0" xfId="0" applyNumberFormat="1" applyFont="1" applyFill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3" fillId="13" borderId="1" xfId="0" applyFont="1" applyFill="1" applyBorder="1" applyAlignment="1" applyProtection="1">
      <alignment horizontal="center" vertical="center" wrapText="1"/>
      <protection locked="0"/>
    </xf>
    <xf numFmtId="2" fontId="3" fillId="13" borderId="0" xfId="0" applyNumberFormat="1" applyFont="1" applyFill="1" applyAlignment="1">
      <alignment horizontal="center" vertical="center"/>
    </xf>
    <xf numFmtId="0" fontId="57" fillId="13" borderId="15" xfId="0" applyFont="1" applyFill="1" applyBorder="1" applyAlignment="1">
      <alignment horizontal="center" vertical="center"/>
    </xf>
    <xf numFmtId="0" fontId="57" fillId="13" borderId="0" xfId="0" applyFont="1" applyFill="1" applyAlignment="1">
      <alignment horizontal="center" vertical="center"/>
    </xf>
    <xf numFmtId="0" fontId="57" fillId="13" borderId="21" xfId="0" applyFont="1" applyFill="1" applyBorder="1" applyAlignment="1">
      <alignment horizontal="center" vertical="center"/>
    </xf>
    <xf numFmtId="2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65" fillId="14" borderId="65" xfId="0" applyFont="1" applyFill="1" applyBorder="1" applyAlignment="1">
      <alignment horizontal="left" vertical="center"/>
    </xf>
    <xf numFmtId="0" fontId="0" fillId="10" borderId="0" xfId="0" applyFill="1" applyProtection="1">
      <protection hidden="1"/>
    </xf>
    <xf numFmtId="0" fontId="62" fillId="10" borderId="41" xfId="0" applyFont="1" applyFill="1" applyBorder="1" applyAlignment="1" applyProtection="1">
      <alignment vertical="center"/>
      <protection hidden="1"/>
    </xf>
    <xf numFmtId="0" fontId="62" fillId="10" borderId="42" xfId="0" applyFont="1" applyFill="1" applyBorder="1" applyAlignment="1" applyProtection="1">
      <alignment vertical="center"/>
      <protection hidden="1"/>
    </xf>
    <xf numFmtId="2" fontId="0" fillId="10" borderId="41" xfId="0" applyNumberFormat="1" applyFill="1" applyBorder="1" applyAlignment="1" applyProtection="1">
      <alignment horizontal="right" vertical="center"/>
      <protection hidden="1"/>
    </xf>
    <xf numFmtId="2" fontId="26" fillId="10" borderId="42" xfId="0" applyNumberFormat="1" applyFont="1" applyFill="1" applyBorder="1" applyAlignment="1" applyProtection="1">
      <alignment horizontal="right" vertical="center"/>
      <protection hidden="1"/>
    </xf>
    <xf numFmtId="2" fontId="0" fillId="10" borderId="42" xfId="0" applyNumberFormat="1" applyFill="1" applyBorder="1" applyAlignment="1" applyProtection="1">
      <alignment horizontal="right" vertical="center"/>
      <protection hidden="1"/>
    </xf>
    <xf numFmtId="0" fontId="0" fillId="10" borderId="0" xfId="0" applyFill="1" applyAlignment="1" applyProtection="1">
      <alignment horizontal="right"/>
      <protection hidden="1"/>
    </xf>
    <xf numFmtId="0" fontId="0" fillId="10" borderId="42" xfId="0" applyFill="1" applyBorder="1" applyAlignment="1" applyProtection="1">
      <alignment horizontal="right" vertical="center"/>
      <protection hidden="1"/>
    </xf>
    <xf numFmtId="0" fontId="49" fillId="10" borderId="42" xfId="0" quotePrefix="1" applyFont="1" applyFill="1" applyBorder="1" applyAlignment="1" applyProtection="1">
      <alignment horizontal="center" vertical="center"/>
      <protection hidden="1"/>
    </xf>
    <xf numFmtId="0" fontId="48" fillId="10" borderId="0" xfId="0" applyFont="1" applyFill="1" applyAlignment="1" applyProtection="1">
      <alignment horizontal="center" vertical="center"/>
      <protection hidden="1"/>
    </xf>
    <xf numFmtId="0" fontId="49" fillId="10" borderId="0" xfId="0" quotePrefix="1" applyFont="1" applyFill="1" applyAlignment="1" applyProtection="1">
      <alignment horizontal="center" vertical="center"/>
      <protection hidden="1"/>
    </xf>
    <xf numFmtId="0" fontId="18" fillId="10" borderId="27" xfId="0" applyFont="1" applyFill="1" applyBorder="1" applyProtection="1">
      <protection hidden="1"/>
    </xf>
    <xf numFmtId="0" fontId="21" fillId="10" borderId="0" xfId="2" applyFill="1" applyProtection="1">
      <protection hidden="1"/>
    </xf>
    <xf numFmtId="0" fontId="26" fillId="10" borderId="41" xfId="0" applyFont="1" applyFill="1" applyBorder="1" applyAlignment="1" applyProtection="1">
      <alignment vertical="center"/>
      <protection hidden="1"/>
    </xf>
    <xf numFmtId="0" fontId="59" fillId="0" borderId="0" xfId="0" applyFont="1" applyAlignment="1" applyProtection="1">
      <alignment horizontal="right"/>
      <protection hidden="1"/>
    </xf>
    <xf numFmtId="0" fontId="66" fillId="0" borderId="42" xfId="0" applyFont="1" applyBorder="1" applyAlignment="1" applyProtection="1">
      <alignment horizontal="center" vertical="center"/>
      <protection hidden="1"/>
    </xf>
    <xf numFmtId="0" fontId="67" fillId="0" borderId="0" xfId="0" quotePrefix="1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59" fillId="0" borderId="27" xfId="0" applyFont="1" applyBorder="1" applyProtection="1">
      <protection hidden="1"/>
    </xf>
    <xf numFmtId="0" fontId="59" fillId="0" borderId="0" xfId="0" applyFont="1" applyProtection="1">
      <protection hidden="1"/>
    </xf>
    <xf numFmtId="0" fontId="59" fillId="0" borderId="50" xfId="2" applyFont="1" applyBorder="1" applyAlignment="1" applyProtection="1">
      <alignment horizontal="center" vertical="center"/>
      <protection hidden="1"/>
    </xf>
    <xf numFmtId="0" fontId="59" fillId="10" borderId="0" xfId="0" applyFont="1" applyFill="1" applyProtection="1">
      <protection hidden="1"/>
    </xf>
    <xf numFmtId="0" fontId="26" fillId="10" borderId="32" xfId="0" applyFont="1" applyFill="1" applyBorder="1" applyAlignment="1" applyProtection="1">
      <alignment vertical="center"/>
      <protection hidden="1"/>
    </xf>
    <xf numFmtId="0" fontId="62" fillId="10" borderId="33" xfId="0" applyFont="1" applyFill="1" applyBorder="1" applyAlignment="1" applyProtection="1">
      <alignment vertical="center"/>
      <protection hidden="1"/>
    </xf>
    <xf numFmtId="0" fontId="49" fillId="0" borderId="4" xfId="0" quotePrefix="1" applyFont="1" applyBorder="1" applyAlignment="1" applyProtection="1">
      <alignment horizontal="center" vertical="center"/>
      <protection hidden="1"/>
    </xf>
    <xf numFmtId="0" fontId="49" fillId="0" borderId="23" xfId="0" quotePrefix="1" applyFont="1" applyBorder="1" applyAlignment="1" applyProtection="1">
      <alignment horizontal="center" vertical="center"/>
      <protection hidden="1"/>
    </xf>
    <xf numFmtId="0" fontId="48" fillId="10" borderId="23" xfId="0" applyFont="1" applyFill="1" applyBorder="1" applyAlignment="1" applyProtection="1">
      <alignment horizontal="center" vertical="center"/>
      <protection hidden="1"/>
    </xf>
    <xf numFmtId="0" fontId="62" fillId="10" borderId="54" xfId="0" applyFont="1" applyFill="1" applyBorder="1" applyAlignment="1" applyProtection="1">
      <alignment vertical="center"/>
      <protection hidden="1"/>
    </xf>
    <xf numFmtId="0" fontId="49" fillId="0" borderId="25" xfId="0" quotePrefix="1" applyFont="1" applyBorder="1" applyAlignment="1" applyProtection="1">
      <alignment horizontal="center" vertical="center"/>
      <protection hidden="1"/>
    </xf>
    <xf numFmtId="0" fontId="0" fillId="5" borderId="24" xfId="0" applyFill="1" applyBorder="1" applyProtection="1">
      <protection hidden="1"/>
    </xf>
    <xf numFmtId="0" fontId="0" fillId="5" borderId="3" xfId="0" applyFill="1" applyBorder="1" applyAlignment="1" applyProtection="1">
      <alignment horizontal="right"/>
      <protection hidden="1"/>
    </xf>
    <xf numFmtId="0" fontId="0" fillId="5" borderId="4" xfId="0" applyFill="1" applyBorder="1" applyAlignment="1" applyProtection="1">
      <alignment horizontal="right"/>
      <protection hidden="1"/>
    </xf>
    <xf numFmtId="0" fontId="0" fillId="5" borderId="0" xfId="0" applyFill="1" applyAlignment="1" applyProtection="1">
      <alignment horizontal="right"/>
      <protection hidden="1"/>
    </xf>
    <xf numFmtId="0" fontId="0" fillId="5" borderId="23" xfId="0" applyFill="1" applyBorder="1" applyAlignment="1" applyProtection="1">
      <alignment horizontal="right"/>
      <protection hidden="1"/>
    </xf>
    <xf numFmtId="0" fontId="0" fillId="5" borderId="24" xfId="0" applyFill="1" applyBorder="1" applyAlignment="1" applyProtection="1">
      <alignment horizontal="right"/>
      <protection hidden="1"/>
    </xf>
    <xf numFmtId="0" fontId="0" fillId="5" borderId="25" xfId="0" applyFill="1" applyBorder="1" applyAlignment="1" applyProtection="1">
      <alignment horizontal="right"/>
      <protection hidden="1"/>
    </xf>
    <xf numFmtId="1" fontId="0" fillId="0" borderId="0" xfId="0" applyNumberFormat="1" applyProtection="1">
      <protection hidden="1"/>
    </xf>
    <xf numFmtId="0" fontId="0" fillId="10" borderId="27" xfId="0" applyFill="1" applyBorder="1" applyProtection="1">
      <protection hidden="1"/>
    </xf>
    <xf numFmtId="0" fontId="0" fillId="10" borderId="52" xfId="0" applyFill="1" applyBorder="1" applyProtection="1">
      <protection hidden="1"/>
    </xf>
    <xf numFmtId="0" fontId="0" fillId="10" borderId="53" xfId="0" applyFill="1" applyBorder="1" applyProtection="1">
      <protection hidden="1"/>
    </xf>
    <xf numFmtId="0" fontId="61" fillId="10" borderId="0" xfId="0" applyFont="1" applyFill="1" applyAlignment="1" applyProtection="1">
      <alignment horizontal="left"/>
      <protection locked="0"/>
    </xf>
    <xf numFmtId="1" fontId="0" fillId="10" borderId="0" xfId="0" applyNumberFormat="1" applyFill="1" applyProtection="1">
      <protection hidden="1"/>
    </xf>
    <xf numFmtId="0" fontId="65" fillId="0" borderId="0" xfId="0" applyFont="1" applyAlignment="1">
      <alignment horizontal="left" vertical="center"/>
    </xf>
    <xf numFmtId="0" fontId="0" fillId="0" borderId="15" xfId="0" applyBorder="1"/>
    <xf numFmtId="0" fontId="0" fillId="0" borderId="17" xfId="0" applyBorder="1"/>
    <xf numFmtId="0" fontId="0" fillId="0" borderId="9" xfId="0" applyBorder="1"/>
    <xf numFmtId="0" fontId="25" fillId="4" borderId="66" xfId="0" applyFont="1" applyFill="1" applyBorder="1" applyAlignment="1" applyProtection="1">
      <alignment horizontal="center" vertical="center"/>
      <protection locked="0"/>
    </xf>
    <xf numFmtId="173" fontId="0" fillId="0" borderId="14" xfId="0" quotePrefix="1" applyNumberFormat="1" applyBorder="1"/>
    <xf numFmtId="14" fontId="0" fillId="0" borderId="15" xfId="0" applyNumberFormat="1" applyBorder="1"/>
    <xf numFmtId="173" fontId="0" fillId="0" borderId="16" xfId="0" quotePrefix="1" applyNumberFormat="1" applyBorder="1"/>
    <xf numFmtId="173" fontId="0" fillId="0" borderId="20" xfId="0" quotePrefix="1" applyNumberFormat="1" applyBorder="1"/>
    <xf numFmtId="14" fontId="0" fillId="0" borderId="21" xfId="0" applyNumberFormat="1" applyBorder="1"/>
    <xf numFmtId="0" fontId="0" fillId="0" borderId="14" xfId="0" applyBorder="1"/>
    <xf numFmtId="0" fontId="65" fillId="15" borderId="65" xfId="0" applyFont="1" applyFill="1" applyBorder="1" applyAlignment="1">
      <alignment horizontal="right" vertical="center"/>
    </xf>
    <xf numFmtId="0" fontId="65" fillId="14" borderId="65" xfId="0" applyFont="1" applyFill="1" applyBorder="1" applyAlignment="1">
      <alignment horizontal="right" vertical="center"/>
    </xf>
    <xf numFmtId="0" fontId="65" fillId="15" borderId="67" xfId="0" applyFont="1" applyFill="1" applyBorder="1" applyAlignment="1">
      <alignment horizontal="left" vertical="center"/>
    </xf>
    <xf numFmtId="0" fontId="65" fillId="14" borderId="67" xfId="0" applyFont="1" applyFill="1" applyBorder="1" applyAlignment="1">
      <alignment horizontal="left" vertical="center"/>
    </xf>
    <xf numFmtId="0" fontId="65" fillId="0" borderId="1" xfId="0" applyFont="1" applyBorder="1" applyAlignment="1">
      <alignment horizontal="left" vertical="center"/>
    </xf>
    <xf numFmtId="0" fontId="46" fillId="0" borderId="0" xfId="0" applyFont="1"/>
    <xf numFmtId="0" fontId="0" fillId="0" borderId="21" xfId="0" applyBorder="1"/>
    <xf numFmtId="0" fontId="0" fillId="0" borderId="19" xfId="0" applyBorder="1"/>
    <xf numFmtId="1" fontId="58" fillId="2" borderId="1" xfId="0" applyNumberFormat="1" applyFont="1" applyFill="1" applyBorder="1" applyAlignment="1">
      <alignment horizontal="center" vertical="center"/>
    </xf>
    <xf numFmtId="172" fontId="58" fillId="2" borderId="1" xfId="0" applyNumberFormat="1" applyFont="1" applyFill="1" applyBorder="1" applyAlignment="1">
      <alignment horizontal="right" vertical="center"/>
    </xf>
    <xf numFmtId="174" fontId="0" fillId="0" borderId="0" xfId="0" applyNumberFormat="1" applyAlignment="1">
      <alignment horizontal="center"/>
    </xf>
    <xf numFmtId="0" fontId="37" fillId="13" borderId="14" xfId="0" applyFont="1" applyFill="1" applyBorder="1"/>
    <xf numFmtId="168" fontId="3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13" borderId="1" xfId="0" applyFont="1" applyFill="1" applyBorder="1" applyAlignment="1">
      <alignment horizontal="center" vertical="center"/>
    </xf>
    <xf numFmtId="172" fontId="58" fillId="2" borderId="1" xfId="0" applyNumberFormat="1" applyFont="1" applyFill="1" applyBorder="1" applyAlignment="1">
      <alignment horizontal="center" vertical="center"/>
    </xf>
    <xf numFmtId="1" fontId="58" fillId="2" borderId="1" xfId="0" applyNumberFormat="1" applyFont="1" applyFill="1" applyBorder="1" applyAlignment="1">
      <alignment horizontal="left" vertical="center"/>
    </xf>
    <xf numFmtId="0" fontId="69" fillId="0" borderId="0" xfId="0" applyFont="1" applyProtection="1">
      <protection hidden="1"/>
    </xf>
    <xf numFmtId="175" fontId="0" fillId="0" borderId="0" xfId="0" applyNumberFormat="1"/>
    <xf numFmtId="175" fontId="0" fillId="0" borderId="21" xfId="0" applyNumberFormat="1" applyBorder="1"/>
    <xf numFmtId="0" fontId="46" fillId="0" borderId="15" xfId="0" applyFont="1" applyBorder="1"/>
    <xf numFmtId="175" fontId="0" fillId="0" borderId="15" xfId="0" applyNumberFormat="1" applyBorder="1"/>
    <xf numFmtId="0" fontId="0" fillId="0" borderId="16" xfId="0" applyBorder="1"/>
    <xf numFmtId="0" fontId="3" fillId="2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7" fillId="4" borderId="1" xfId="0" applyFont="1" applyFill="1" applyBorder="1" applyAlignment="1">
      <alignment horizontal="justify" vertical="top"/>
    </xf>
    <xf numFmtId="2" fontId="21" fillId="0" borderId="0" xfId="2" applyNumberFormat="1" applyAlignment="1" applyProtection="1">
      <alignment horizontal="center" vertical="center"/>
      <protection hidden="1"/>
    </xf>
    <xf numFmtId="2" fontId="59" fillId="0" borderId="0" xfId="2" applyNumberFormat="1" applyFont="1" applyAlignment="1" applyProtection="1">
      <alignment horizontal="center" vertical="center"/>
      <protection hidden="1"/>
    </xf>
    <xf numFmtId="0" fontId="23" fillId="0" borderId="0" xfId="2" applyFont="1" applyAlignment="1" applyProtection="1">
      <alignment horizontal="center" vertical="center"/>
      <protection hidden="1"/>
    </xf>
    <xf numFmtId="0" fontId="56" fillId="0" borderId="0" xfId="2" applyFont="1" applyAlignment="1" applyProtection="1">
      <alignment horizontal="center" vertical="center"/>
      <protection hidden="1"/>
    </xf>
    <xf numFmtId="2" fontId="21" fillId="0" borderId="0" xfId="2" applyNumberFormat="1" applyAlignment="1" applyProtection="1">
      <alignment horizontal="center"/>
      <protection hidden="1"/>
    </xf>
    <xf numFmtId="0" fontId="27" fillId="2" borderId="24" xfId="0" applyFont="1" applyFill="1" applyBorder="1" applyAlignment="1">
      <alignment horizontal="left" vertical="center"/>
    </xf>
    <xf numFmtId="0" fontId="46" fillId="0" borderId="21" xfId="0" applyFont="1" applyBorder="1"/>
    <xf numFmtId="1" fontId="58" fillId="2" borderId="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9" fillId="16" borderId="0" xfId="0" applyFont="1" applyFill="1" applyAlignment="1" applyProtection="1">
      <alignment horizontal="left"/>
      <protection locked="0"/>
    </xf>
    <xf numFmtId="1" fontId="59" fillId="16" borderId="0" xfId="0" applyNumberFormat="1" applyFont="1" applyFill="1" applyProtection="1">
      <protection hidden="1"/>
    </xf>
    <xf numFmtId="0" fontId="59" fillId="16" borderId="27" xfId="0" applyFont="1" applyFill="1" applyBorder="1" applyProtection="1">
      <protection hidden="1"/>
    </xf>
    <xf numFmtId="172" fontId="0" fillId="0" borderId="0" xfId="0" applyNumberFormat="1"/>
    <xf numFmtId="172" fontId="46" fillId="0" borderId="0" xfId="0" applyNumberFormat="1" applyFont="1"/>
    <xf numFmtId="172" fontId="0" fillId="0" borderId="15" xfId="0" applyNumberFormat="1" applyBorder="1"/>
    <xf numFmtId="172" fontId="70" fillId="0" borderId="15" xfId="0" applyNumberFormat="1" applyFont="1" applyBorder="1"/>
    <xf numFmtId="172" fontId="70" fillId="0" borderId="0" xfId="0" applyNumberFormat="1" applyFont="1"/>
    <xf numFmtId="172" fontId="0" fillId="0" borderId="21" xfId="0" applyNumberFormat="1" applyBorder="1"/>
    <xf numFmtId="172" fontId="70" fillId="0" borderId="21" xfId="0" applyNumberFormat="1" applyFont="1" applyBorder="1"/>
    <xf numFmtId="0" fontId="0" fillId="8" borderId="33" xfId="0" applyFill="1" applyBorder="1" applyProtection="1">
      <protection hidden="1"/>
    </xf>
    <xf numFmtId="0" fontId="0" fillId="8" borderId="42" xfId="0" applyFill="1" applyBorder="1" applyProtection="1">
      <protection hidden="1"/>
    </xf>
    <xf numFmtId="0" fontId="0" fillId="8" borderId="54" xfId="0" applyFill="1" applyBorder="1" applyProtection="1">
      <protection hidden="1"/>
    </xf>
    <xf numFmtId="0" fontId="0" fillId="8" borderId="33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8" borderId="4" xfId="0" applyFill="1" applyBorder="1" applyAlignment="1" applyProtection="1">
      <alignment horizontal="center"/>
      <protection hidden="1"/>
    </xf>
    <xf numFmtId="0" fontId="0" fillId="8" borderId="42" xfId="0" applyFill="1" applyBorder="1" applyAlignment="1" applyProtection="1">
      <alignment horizontal="center"/>
      <protection hidden="1"/>
    </xf>
    <xf numFmtId="0" fontId="72" fillId="10" borderId="68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center"/>
      <protection hidden="1"/>
    </xf>
    <xf numFmtId="0" fontId="72" fillId="10" borderId="52" xfId="0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34" xfId="0" applyFill="1" applyBorder="1" applyProtection="1">
      <protection hidden="1"/>
    </xf>
    <xf numFmtId="0" fontId="0" fillId="8" borderId="61" xfId="0" applyFill="1" applyBorder="1" applyProtection="1">
      <protection hidden="1"/>
    </xf>
    <xf numFmtId="0" fontId="72" fillId="10" borderId="53" xfId="0" applyFont="1" applyFill="1" applyBorder="1" applyAlignment="1" applyProtection="1">
      <alignment horizontal="center"/>
      <protection hidden="1"/>
    </xf>
    <xf numFmtId="0" fontId="74" fillId="4" borderId="24" xfId="0" applyFont="1" applyFill="1" applyBorder="1" applyProtection="1">
      <protection locked="0"/>
    </xf>
    <xf numFmtId="0" fontId="26" fillId="0" borderId="69" xfId="0" applyFont="1" applyBorder="1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left" vertical="center" wrapText="1"/>
      <protection hidden="1"/>
    </xf>
    <xf numFmtId="0" fontId="3" fillId="0" borderId="33" xfId="0" applyFont="1" applyBorder="1" applyAlignment="1" applyProtection="1">
      <alignment horizontal="left" vertical="center" wrapText="1"/>
      <protection hidden="1"/>
    </xf>
    <xf numFmtId="0" fontId="25" fillId="0" borderId="33" xfId="0" applyFont="1" applyBorder="1" applyAlignment="1" applyProtection="1">
      <alignment horizontal="left" vertical="center" wrapText="1"/>
      <protection hidden="1"/>
    </xf>
    <xf numFmtId="0" fontId="25" fillId="0" borderId="34" xfId="0" applyFont="1" applyBorder="1" applyAlignment="1" applyProtection="1">
      <alignment horizontal="left" vertical="center" wrapText="1"/>
      <protection hidden="1"/>
    </xf>
    <xf numFmtId="0" fontId="35" fillId="2" borderId="35" xfId="0" applyFont="1" applyFill="1" applyBorder="1" applyAlignment="1" applyProtection="1">
      <alignment horizontal="left" vertical="center" wrapText="1"/>
      <protection hidden="1"/>
    </xf>
    <xf numFmtId="0" fontId="35" fillId="4" borderId="36" xfId="0" applyFont="1" applyFill="1" applyBorder="1" applyAlignment="1" applyProtection="1">
      <alignment horizontal="left" vertical="center" wrapText="1"/>
      <protection hidden="1"/>
    </xf>
    <xf numFmtId="0" fontId="35" fillId="2" borderId="36" xfId="0" applyFont="1" applyFill="1" applyBorder="1" applyAlignment="1" applyProtection="1">
      <alignment horizontal="left" vertical="center" wrapText="1"/>
      <protection hidden="1"/>
    </xf>
    <xf numFmtId="0" fontId="35" fillId="4" borderId="37" xfId="0" applyFont="1" applyFill="1" applyBorder="1" applyAlignment="1" applyProtection="1">
      <alignment horizontal="left" vertical="center" wrapText="1"/>
      <protection hidden="1"/>
    </xf>
    <xf numFmtId="0" fontId="27" fillId="5" borderId="3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31" fillId="0" borderId="0" xfId="2" applyFont="1" applyAlignment="1" applyProtection="1">
      <alignment horizontal="left" vertical="center" wrapText="1"/>
      <protection hidden="1"/>
    </xf>
    <xf numFmtId="0" fontId="24" fillId="0" borderId="0" xfId="2" applyFont="1" applyAlignment="1" applyProtection="1">
      <alignment horizontal="left" vertical="center" wrapText="1"/>
      <protection hidden="1"/>
    </xf>
    <xf numFmtId="0" fontId="47" fillId="0" borderId="0" xfId="2" applyFont="1" applyAlignment="1" applyProtection="1">
      <alignment horizontal="left" vertical="center" wrapText="1"/>
      <protection hidden="1"/>
    </xf>
    <xf numFmtId="1" fontId="25" fillId="0" borderId="0" xfId="0" applyNumberFormat="1" applyFont="1" applyAlignment="1" applyProtection="1">
      <alignment horizontal="left" wrapText="1"/>
      <protection hidden="1"/>
    </xf>
    <xf numFmtId="0" fontId="63" fillId="0" borderId="0" xfId="0" applyFont="1" applyAlignment="1" applyProtection="1">
      <alignment horizontal="left"/>
      <protection hidden="1"/>
    </xf>
    <xf numFmtId="0" fontId="49" fillId="0" borderId="42" xfId="0" applyFont="1" applyBorder="1" applyAlignment="1" applyProtection="1">
      <alignment horizontal="center" vertical="center"/>
      <protection hidden="1"/>
    </xf>
    <xf numFmtId="0" fontId="49" fillId="0" borderId="54" xfId="0" applyFont="1" applyBorder="1" applyAlignment="1" applyProtection="1">
      <alignment horizontal="center" vertical="center"/>
      <protection hidden="1"/>
    </xf>
    <xf numFmtId="0" fontId="49" fillId="0" borderId="33" xfId="0" applyFont="1" applyBorder="1" applyAlignment="1" applyProtection="1">
      <alignment horizontal="center" vertical="center"/>
      <protection hidden="1"/>
    </xf>
    <xf numFmtId="0" fontId="48" fillId="0" borderId="4" xfId="0" applyFont="1" applyBorder="1" applyAlignment="1" applyProtection="1">
      <alignment horizontal="center" vertical="center"/>
      <protection hidden="1"/>
    </xf>
    <xf numFmtId="0" fontId="48" fillId="0" borderId="23" xfId="0" applyFont="1" applyBorder="1" applyAlignment="1" applyProtection="1">
      <alignment horizontal="center" vertical="center"/>
      <protection hidden="1"/>
    </xf>
    <xf numFmtId="0" fontId="48" fillId="0" borderId="25" xfId="0" applyFont="1" applyBorder="1" applyAlignment="1" applyProtection="1">
      <alignment horizontal="center" vertical="center"/>
      <protection hidden="1"/>
    </xf>
    <xf numFmtId="0" fontId="59" fillId="0" borderId="3" xfId="0" applyFont="1" applyBorder="1" applyAlignment="1" applyProtection="1">
      <alignment horizontal="right"/>
      <protection hidden="1"/>
    </xf>
    <xf numFmtId="0" fontId="59" fillId="0" borderId="24" xfId="0" applyFont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26" fillId="0" borderId="32" xfId="0" applyFont="1" applyBorder="1" applyAlignment="1" applyProtection="1">
      <alignment horizontal="left" vertical="center"/>
      <protection hidden="1"/>
    </xf>
    <xf numFmtId="14" fontId="0" fillId="2" borderId="9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49" fontId="4" fillId="4" borderId="69" xfId="0" applyNumberFormat="1" applyFont="1" applyFill="1" applyBorder="1" applyAlignment="1" applyProtection="1">
      <alignment horizontal="center" vertical="center"/>
      <protection locked="0"/>
    </xf>
    <xf numFmtId="49" fontId="68" fillId="4" borderId="69" xfId="0" applyNumberFormat="1" applyFont="1" applyFill="1" applyBorder="1" applyAlignment="1" applyProtection="1">
      <alignment horizontal="center" vertical="center"/>
      <protection locked="0" hidden="1"/>
    </xf>
    <xf numFmtId="49" fontId="4" fillId="4" borderId="69" xfId="0" applyNumberFormat="1" applyFont="1" applyFill="1" applyBorder="1" applyAlignment="1" applyProtection="1">
      <alignment horizontal="left" vertical="center"/>
      <protection locked="0"/>
    </xf>
    <xf numFmtId="1" fontId="0" fillId="0" borderId="69" xfId="0" applyNumberFormat="1" applyBorder="1" applyProtection="1">
      <protection hidden="1"/>
    </xf>
    <xf numFmtId="0" fontId="25" fillId="0" borderId="0" xfId="0" applyFont="1" applyAlignment="1" applyProtection="1">
      <alignment horizontal="center" wrapText="1"/>
      <protection hidden="1"/>
    </xf>
    <xf numFmtId="1" fontId="0" fillId="0" borderId="69" xfId="0" applyNumberFormat="1" applyBorder="1" applyAlignment="1" applyProtection="1">
      <alignment horizontal="center"/>
      <protection hidden="1"/>
    </xf>
    <xf numFmtId="0" fontId="0" fillId="0" borderId="69" xfId="0" applyBorder="1" applyProtection="1">
      <protection hidden="1"/>
    </xf>
    <xf numFmtId="0" fontId="50" fillId="0" borderId="69" xfId="0" applyFont="1" applyBorder="1" applyProtection="1">
      <protection hidden="1"/>
    </xf>
    <xf numFmtId="0" fontId="61" fillId="0" borderId="69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169" fontId="0" fillId="2" borderId="23" xfId="0" applyNumberFormat="1" applyFill="1" applyBorder="1" applyAlignment="1">
      <alignment horizontal="center" vertical="center"/>
    </xf>
    <xf numFmtId="0" fontId="68" fillId="10" borderId="1" xfId="2" applyFont="1" applyFill="1" applyBorder="1" applyAlignment="1" applyProtection="1">
      <alignment horizontal="center" vertical="center"/>
      <protection hidden="1"/>
    </xf>
    <xf numFmtId="2" fontId="26" fillId="0" borderId="32" xfId="0" applyNumberFormat="1" applyFont="1" applyBorder="1" applyAlignment="1" applyProtection="1">
      <alignment horizontal="right" vertical="center"/>
      <protection hidden="1"/>
    </xf>
    <xf numFmtId="2" fontId="26" fillId="0" borderId="53" xfId="0" applyNumberFormat="1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horizontal="right"/>
      <protection hidden="1"/>
    </xf>
    <xf numFmtId="0" fontId="26" fillId="10" borderId="42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right" vertical="center"/>
      <protection hidden="1"/>
    </xf>
    <xf numFmtId="0" fontId="26" fillId="8" borderId="42" xfId="0" applyFont="1" applyFill="1" applyBorder="1" applyAlignment="1" applyProtection="1">
      <alignment vertical="center"/>
      <protection hidden="1"/>
    </xf>
    <xf numFmtId="0" fontId="26" fillId="10" borderId="33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51" fillId="0" borderId="0" xfId="0" applyFont="1" applyBorder="1" applyAlignment="1" applyProtection="1">
      <alignment vertical="center"/>
      <protection hidden="1"/>
    </xf>
    <xf numFmtId="0" fontId="46" fillId="10" borderId="0" xfId="0" applyFont="1" applyFill="1"/>
    <xf numFmtId="0" fontId="18" fillId="0" borderId="38" xfId="0" applyFont="1" applyBorder="1" applyProtection="1">
      <protection hidden="1"/>
    </xf>
    <xf numFmtId="0" fontId="46" fillId="10" borderId="33" xfId="0" applyFont="1" applyFill="1" applyBorder="1"/>
    <xf numFmtId="0" fontId="18" fillId="0" borderId="26" xfId="0" applyFont="1" applyBorder="1" applyProtection="1">
      <protection hidden="1"/>
    </xf>
    <xf numFmtId="0" fontId="46" fillId="10" borderId="42" xfId="0" applyFont="1" applyFill="1" applyBorder="1"/>
    <xf numFmtId="0" fontId="46" fillId="10" borderId="54" xfId="0" applyFont="1" applyFill="1" applyBorder="1"/>
    <xf numFmtId="0" fontId="18" fillId="0" borderId="31" xfId="0" applyFont="1" applyBorder="1" applyProtection="1">
      <protection hidden="1"/>
    </xf>
    <xf numFmtId="0" fontId="0" fillId="0" borderId="0" xfId="2" applyFont="1" applyProtection="1">
      <protection hidden="1"/>
    </xf>
    <xf numFmtId="0" fontId="21" fillId="0" borderId="0" xfId="2" applyAlignment="1" applyProtection="1">
      <alignment horizontal="center"/>
      <protection hidden="1"/>
    </xf>
    <xf numFmtId="0" fontId="9" fillId="4" borderId="69" xfId="0" applyFont="1" applyFill="1" applyBorder="1" applyAlignment="1" applyProtection="1">
      <alignment horizontal="center" vertical="center"/>
      <protection locked="0"/>
    </xf>
    <xf numFmtId="13" fontId="20" fillId="4" borderId="69" xfId="0" applyNumberFormat="1" applyFont="1" applyFill="1" applyBorder="1" applyAlignment="1" applyProtection="1">
      <alignment horizontal="left" vertical="center"/>
      <protection locked="0"/>
    </xf>
    <xf numFmtId="0" fontId="9" fillId="4" borderId="69" xfId="0" applyFont="1" applyFill="1" applyBorder="1" applyAlignment="1" applyProtection="1">
      <alignment horizontal="left" vertical="center"/>
      <protection locked="0"/>
    </xf>
    <xf numFmtId="12" fontId="20" fillId="4" borderId="69" xfId="0" applyNumberFormat="1" applyFont="1" applyFill="1" applyBorder="1" applyAlignment="1" applyProtection="1">
      <alignment horizontal="left" vertical="center"/>
      <protection locked="0"/>
    </xf>
    <xf numFmtId="0" fontId="73" fillId="4" borderId="69" xfId="0" applyFont="1" applyFill="1" applyBorder="1" applyAlignment="1" applyProtection="1">
      <alignment horizontal="center" vertical="center"/>
      <protection locked="0"/>
    </xf>
    <xf numFmtId="2" fontId="9" fillId="0" borderId="69" xfId="0" applyNumberFormat="1" applyFont="1" applyBorder="1" applyAlignment="1">
      <alignment horizontal="center" vertical="center"/>
    </xf>
    <xf numFmtId="2" fontId="42" fillId="0" borderId="69" xfId="0" applyNumberFormat="1" applyFont="1" applyBorder="1" applyAlignment="1">
      <alignment horizontal="center" vertical="center"/>
    </xf>
    <xf numFmtId="167" fontId="42" fillId="0" borderId="69" xfId="0" applyNumberFormat="1" applyFont="1" applyBorder="1" applyAlignment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13" fontId="20" fillId="4" borderId="28" xfId="0" applyNumberFormat="1" applyFont="1" applyFill="1" applyBorder="1" applyAlignment="1" applyProtection="1">
      <alignment horizontal="left" vertical="center"/>
      <protection locked="0"/>
    </xf>
    <xf numFmtId="0" fontId="0" fillId="4" borderId="71" xfId="0" applyFill="1" applyBorder="1" applyAlignment="1" applyProtection="1">
      <alignment horizontal="center" vertical="center"/>
      <protection locked="0"/>
    </xf>
    <xf numFmtId="2" fontId="9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0" fillId="0" borderId="0" xfId="0"/>
    <xf numFmtId="4" fontId="1" fillId="2" borderId="5" xfId="0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25" fillId="0" borderId="32" xfId="0" applyFont="1" applyBorder="1" applyAlignment="1" applyProtection="1">
      <alignment horizontal="left" vertical="center" wrapText="1"/>
      <protection hidden="1"/>
    </xf>
    <xf numFmtId="0" fontId="25" fillId="0" borderId="3" xfId="0" applyFont="1" applyBorder="1" applyAlignment="1" applyProtection="1">
      <alignment horizontal="left" vertical="center" wrapText="1"/>
      <protection hidden="1"/>
    </xf>
    <xf numFmtId="0" fontId="25" fillId="0" borderId="32" xfId="0" applyFont="1" applyBorder="1" applyAlignment="1" applyProtection="1">
      <alignment horizontal="left" wrapText="1"/>
      <protection hidden="1"/>
    </xf>
    <xf numFmtId="2" fontId="0" fillId="0" borderId="23" xfId="0" applyNumberFormat="1" applyBorder="1" applyAlignment="1" applyProtection="1">
      <alignment horizontal="right" vertical="center"/>
      <protection hidden="1"/>
    </xf>
    <xf numFmtId="2" fontId="26" fillId="0" borderId="41" xfId="0" applyNumberFormat="1" applyFont="1" applyBorder="1" applyAlignment="1" applyProtection="1">
      <alignment horizontal="right" vertical="center"/>
      <protection hidden="1"/>
    </xf>
    <xf numFmtId="2" fontId="26" fillId="0" borderId="41" xfId="0" applyNumberFormat="1" applyFont="1" applyBorder="1" applyAlignment="1" applyProtection="1">
      <alignment horizontal="right" vertical="center" wrapText="1"/>
      <protection hidden="1"/>
    </xf>
    <xf numFmtId="2" fontId="26" fillId="10" borderId="41" xfId="0" applyNumberFormat="1" applyFont="1" applyFill="1" applyBorder="1" applyAlignment="1" applyProtection="1">
      <alignment horizontal="right" vertical="center"/>
      <protection hidden="1"/>
    </xf>
    <xf numFmtId="2" fontId="0" fillId="10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2" fontId="0" fillId="0" borderId="24" xfId="0" applyNumberFormat="1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/>
      <protection hidden="1"/>
    </xf>
    <xf numFmtId="0" fontId="0" fillId="0" borderId="53" xfId="0" applyBorder="1" applyAlignment="1" applyProtection="1">
      <alignment horizontal="right"/>
      <protection hidden="1"/>
    </xf>
    <xf numFmtId="0" fontId="59" fillId="0" borderId="0" xfId="0" applyFont="1" applyBorder="1" applyAlignment="1" applyProtection="1">
      <alignment horizontal="right" vertical="center"/>
      <protection hidden="1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0" fillId="4" borderId="69" xfId="0" applyFill="1" applyBorder="1" applyAlignment="1" applyProtection="1">
      <alignment horizontal="center" vertical="center"/>
      <protection locked="0"/>
    </xf>
    <xf numFmtId="2" fontId="1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" fillId="4" borderId="69" xfId="0" applyFont="1" applyFill="1" applyBorder="1" applyAlignment="1" applyProtection="1">
      <alignment horizontal="left" vertical="center"/>
      <protection locked="0"/>
    </xf>
    <xf numFmtId="169" fontId="1" fillId="2" borderId="69" xfId="0" applyNumberFormat="1" applyFont="1" applyFill="1" applyBorder="1" applyAlignment="1">
      <alignment horizontal="center" vertical="center"/>
    </xf>
    <xf numFmtId="167" fontId="1" fillId="0" borderId="69" xfId="0" applyNumberFormat="1" applyFont="1" applyBorder="1" applyAlignment="1">
      <alignment horizontal="center"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9" fillId="4" borderId="28" xfId="0" applyFont="1" applyFill="1" applyBorder="1" applyAlignment="1" applyProtection="1">
      <alignment horizontal="left" vertical="center"/>
      <protection locked="0"/>
    </xf>
    <xf numFmtId="49" fontId="4" fillId="4" borderId="28" xfId="0" applyNumberFormat="1" applyFont="1" applyFill="1" applyBorder="1" applyAlignment="1" applyProtection="1">
      <alignment horizontal="center" vertical="center"/>
      <protection locked="0"/>
    </xf>
    <xf numFmtId="49" fontId="4" fillId="4" borderId="28" xfId="0" applyNumberFormat="1" applyFont="1" applyFill="1" applyBorder="1" applyAlignment="1" applyProtection="1">
      <alignment horizontal="left" vertical="center"/>
      <protection locked="0"/>
    </xf>
    <xf numFmtId="49" fontId="68" fillId="4" borderId="28" xfId="0" applyNumberFormat="1" applyFont="1" applyFill="1" applyBorder="1" applyAlignment="1" applyProtection="1">
      <alignment horizontal="center" vertical="center"/>
      <protection locked="0" hidden="1"/>
    </xf>
    <xf numFmtId="0" fontId="25" fillId="4" borderId="71" xfId="0" applyFont="1" applyFill="1" applyBorder="1" applyAlignment="1" applyProtection="1">
      <alignment horizontal="center" vertical="center"/>
      <protection locked="0"/>
    </xf>
    <xf numFmtId="14" fontId="3" fillId="4" borderId="13" xfId="0" applyNumberFormat="1" applyFont="1" applyFill="1" applyBorder="1" applyAlignment="1" applyProtection="1">
      <alignment horizontal="center" vertical="center"/>
      <protection hidden="1"/>
    </xf>
    <xf numFmtId="0" fontId="9" fillId="4" borderId="55" xfId="0" applyFont="1" applyFill="1" applyBorder="1" applyAlignment="1" applyProtection="1">
      <alignment horizontal="left" vertical="center"/>
      <protection locked="0"/>
    </xf>
    <xf numFmtId="0" fontId="9" fillId="4" borderId="59" xfId="0" applyFont="1" applyFill="1" applyBorder="1" applyAlignment="1" applyProtection="1">
      <alignment horizontal="left" vertical="center"/>
      <protection locked="0"/>
    </xf>
    <xf numFmtId="0" fontId="9" fillId="4" borderId="56" xfId="0" applyFont="1" applyFill="1" applyBorder="1" applyAlignment="1" applyProtection="1">
      <alignment horizontal="left" vertical="center"/>
      <protection locked="0"/>
    </xf>
    <xf numFmtId="0" fontId="9" fillId="4" borderId="43" xfId="0" applyFont="1" applyFill="1" applyBorder="1" applyAlignment="1" applyProtection="1">
      <alignment horizontal="left" vertical="center"/>
      <protection locked="0"/>
    </xf>
    <xf numFmtId="0" fontId="9" fillId="4" borderId="63" xfId="0" applyFont="1" applyFill="1" applyBorder="1" applyAlignment="1" applyProtection="1">
      <alignment horizontal="left" vertical="center"/>
      <protection locked="0"/>
    </xf>
    <xf numFmtId="0" fontId="9" fillId="4" borderId="78" xfId="0" applyFont="1" applyFill="1" applyBorder="1" applyAlignment="1" applyProtection="1">
      <alignment horizontal="left" vertical="center"/>
      <protection locked="0"/>
    </xf>
    <xf numFmtId="0" fontId="51" fillId="2" borderId="3" xfId="0" applyFont="1" applyFill="1" applyBorder="1" applyAlignment="1">
      <alignment horizontal="justify" vertical="center"/>
    </xf>
    <xf numFmtId="1" fontId="3" fillId="4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8" fontId="3" fillId="4" borderId="13" xfId="0" applyNumberFormat="1" applyFont="1" applyFill="1" applyBorder="1" applyAlignment="1" applyProtection="1">
      <alignment horizontal="left" vertical="center"/>
      <protection locked="0"/>
    </xf>
    <xf numFmtId="168" fontId="3" fillId="4" borderId="1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vertical="center"/>
    </xf>
    <xf numFmtId="0" fontId="0" fillId="4" borderId="42" xfId="0" applyFill="1" applyBorder="1" applyAlignment="1" applyProtection="1">
      <alignment horizontal="justify" vertical="top"/>
      <protection locked="0"/>
    </xf>
    <xf numFmtId="0" fontId="0" fillId="4" borderId="0" xfId="0" applyFill="1" applyAlignment="1" applyProtection="1">
      <alignment horizontal="justify" vertical="top"/>
      <protection locked="0"/>
    </xf>
    <xf numFmtId="0" fontId="0" fillId="4" borderId="23" xfId="0" applyFill="1" applyBorder="1" applyAlignment="1" applyProtection="1">
      <alignment horizontal="justify" vertical="top"/>
      <protection locked="0"/>
    </xf>
    <xf numFmtId="0" fontId="0" fillId="4" borderId="54" xfId="0" applyFill="1" applyBorder="1" applyAlignment="1" applyProtection="1">
      <alignment horizontal="justify" vertical="top"/>
      <protection locked="0"/>
    </xf>
    <xf numFmtId="0" fontId="0" fillId="4" borderId="24" xfId="0" applyFill="1" applyBorder="1" applyAlignment="1" applyProtection="1">
      <alignment horizontal="justify" vertical="top"/>
      <protection locked="0"/>
    </xf>
    <xf numFmtId="0" fontId="0" fillId="4" borderId="25" xfId="0" applyFill="1" applyBorder="1" applyAlignment="1" applyProtection="1">
      <alignment horizontal="justify" vertical="top"/>
      <protection locked="0"/>
    </xf>
    <xf numFmtId="0" fontId="40" fillId="2" borderId="24" xfId="0" applyFont="1" applyFill="1" applyBorder="1" applyAlignment="1">
      <alignment horizontal="right" vertical="center"/>
    </xf>
    <xf numFmtId="166" fontId="6" fillId="2" borderId="24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8" fillId="2" borderId="24" xfId="0" applyFont="1" applyFill="1" applyBorder="1" applyAlignment="1">
      <alignment horizontal="left" vertical="center"/>
    </xf>
    <xf numFmtId="0" fontId="37" fillId="2" borderId="42" xfId="0" applyFont="1" applyFill="1" applyBorder="1" applyAlignment="1">
      <alignment horizontal="justify" vertical="top"/>
    </xf>
    <xf numFmtId="0" fontId="37" fillId="2" borderId="0" xfId="0" applyFont="1" applyFill="1" applyAlignment="1">
      <alignment horizontal="justify" vertical="top"/>
    </xf>
    <xf numFmtId="0" fontId="37" fillId="2" borderId="54" xfId="0" applyFont="1" applyFill="1" applyBorder="1" applyAlignment="1">
      <alignment horizontal="justify" vertical="top"/>
    </xf>
    <xf numFmtId="0" fontId="37" fillId="2" borderId="24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left"/>
    </xf>
    <xf numFmtId="0" fontId="37" fillId="2" borderId="30" xfId="0" applyFont="1" applyFill="1" applyBorder="1" applyAlignment="1">
      <alignment horizontal="left"/>
    </xf>
    <xf numFmtId="1" fontId="5" fillId="2" borderId="16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168" fontId="27" fillId="3" borderId="0" xfId="0" applyNumberFormat="1" applyFont="1" applyFill="1" applyBorder="1" applyAlignment="1">
      <alignment horizontal="center" vertical="center"/>
    </xf>
    <xf numFmtId="168" fontId="27" fillId="3" borderId="9" xfId="0" applyNumberFormat="1" applyFont="1" applyFill="1" applyBorder="1" applyAlignment="1">
      <alignment horizontal="center" vertical="center"/>
    </xf>
    <xf numFmtId="168" fontId="27" fillId="3" borderId="24" xfId="0" applyNumberFormat="1" applyFont="1" applyFill="1" applyBorder="1" applyAlignment="1">
      <alignment horizontal="center" vertical="center"/>
    </xf>
    <xf numFmtId="168" fontId="27" fillId="3" borderId="10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left"/>
    </xf>
    <xf numFmtId="0" fontId="37" fillId="2" borderId="16" xfId="0" applyFont="1" applyFill="1" applyBorder="1" applyAlignment="1">
      <alignment horizontal="right" vertical="center"/>
    </xf>
    <xf numFmtId="0" fontId="37" fillId="2" borderId="13" xfId="0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7" fillId="2" borderId="33" xfId="0" applyFont="1" applyFill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4" borderId="79" xfId="0" applyNumberFormat="1" applyFont="1" applyFill="1" applyBorder="1" applyAlignment="1" applyProtection="1">
      <alignment horizontal="center" vertical="center"/>
      <protection locked="0"/>
    </xf>
    <xf numFmtId="49" fontId="4" fillId="4" borderId="80" xfId="0" applyNumberFormat="1" applyFont="1" applyFill="1" applyBorder="1" applyAlignment="1" applyProtection="1">
      <alignment horizontal="center" vertical="center"/>
      <protection locked="0"/>
    </xf>
    <xf numFmtId="49" fontId="4" fillId="4" borderId="81" xfId="0" applyNumberFormat="1" applyFont="1" applyFill="1" applyBorder="1" applyAlignment="1" applyProtection="1">
      <alignment horizontal="center" vertical="center"/>
      <protection locked="0"/>
    </xf>
    <xf numFmtId="49" fontId="4" fillId="4" borderId="75" xfId="0" applyNumberFormat="1" applyFont="1" applyFill="1" applyBorder="1" applyAlignment="1" applyProtection="1">
      <alignment horizontal="center" vertical="center"/>
      <protection locked="0"/>
    </xf>
    <xf numFmtId="49" fontId="4" fillId="4" borderId="76" xfId="0" applyNumberFormat="1" applyFont="1" applyFill="1" applyBorder="1" applyAlignment="1" applyProtection="1">
      <alignment horizontal="center" vertical="center"/>
      <protection locked="0"/>
    </xf>
    <xf numFmtId="49" fontId="4" fillId="4" borderId="77" xfId="0" applyNumberFormat="1" applyFont="1" applyFill="1" applyBorder="1" applyAlignment="1" applyProtection="1">
      <alignment horizontal="center" vertical="center"/>
      <protection locked="0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/>
    </xf>
    <xf numFmtId="0" fontId="37" fillId="2" borderId="6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168" fontId="27" fillId="3" borderId="0" xfId="0" applyNumberFormat="1" applyFont="1" applyFill="1" applyAlignment="1" applyProtection="1">
      <alignment horizontal="center" vertical="center"/>
      <protection locked="0"/>
    </xf>
    <xf numFmtId="168" fontId="27" fillId="3" borderId="9" xfId="0" applyNumberFormat="1" applyFont="1" applyFill="1" applyBorder="1" applyAlignment="1" applyProtection="1">
      <alignment horizontal="center" vertical="center"/>
      <protection locked="0"/>
    </xf>
    <xf numFmtId="168" fontId="27" fillId="3" borderId="24" xfId="0" applyNumberFormat="1" applyFont="1" applyFill="1" applyBorder="1" applyAlignment="1" applyProtection="1">
      <alignment horizontal="center" vertical="center"/>
      <protection locked="0"/>
    </xf>
    <xf numFmtId="168" fontId="27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2" fontId="6" fillId="2" borderId="0" xfId="0" applyNumberFormat="1" applyFont="1" applyFill="1" applyAlignment="1">
      <alignment horizontal="right" vertical="center"/>
    </xf>
    <xf numFmtId="0" fontId="2" fillId="2" borderId="3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" fontId="1" fillId="2" borderId="16" xfId="0" applyNumberFormat="1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justify"/>
    </xf>
    <xf numFmtId="0" fontId="37" fillId="2" borderId="13" xfId="0" applyFont="1" applyFill="1" applyBorder="1" applyAlignment="1">
      <alignment horizontal="center" vertical="justify"/>
    </xf>
    <xf numFmtId="14" fontId="27" fillId="3" borderId="0" xfId="0" applyNumberFormat="1" applyFont="1" applyFill="1" applyAlignment="1">
      <alignment horizontal="center" vertical="center"/>
    </xf>
    <xf numFmtId="14" fontId="27" fillId="3" borderId="9" xfId="0" applyNumberFormat="1" applyFont="1" applyFill="1" applyBorder="1" applyAlignment="1">
      <alignment horizontal="center" vertical="center"/>
    </xf>
    <xf numFmtId="14" fontId="27" fillId="3" borderId="24" xfId="0" applyNumberFormat="1" applyFont="1" applyFill="1" applyBorder="1" applyAlignment="1">
      <alignment horizontal="center" vertical="center"/>
    </xf>
    <xf numFmtId="14" fontId="27" fillId="3" borderId="10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7" fontId="54" fillId="2" borderId="13" xfId="0" applyNumberFormat="1" applyFont="1" applyFill="1" applyBorder="1" applyAlignment="1">
      <alignment horizontal="center" vertical="center"/>
    </xf>
    <xf numFmtId="167" fontId="54" fillId="2" borderId="25" xfId="0" applyNumberFormat="1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left"/>
    </xf>
    <xf numFmtId="0" fontId="53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 applyProtection="1">
      <alignment horizontal="left" vertical="center"/>
      <protection locked="0"/>
    </xf>
    <xf numFmtId="2" fontId="1" fillId="2" borderId="55" xfId="0" applyNumberFormat="1" applyFont="1" applyFill="1" applyBorder="1" applyAlignment="1">
      <alignment horizontal="center" vertical="center"/>
    </xf>
    <xf numFmtId="2" fontId="1" fillId="2" borderId="58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 wrapText="1"/>
    </xf>
    <xf numFmtId="0" fontId="40" fillId="2" borderId="0" xfId="0" applyFont="1" applyFill="1" applyAlignment="1">
      <alignment horizontal="right"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2" fontId="1" fillId="2" borderId="43" xfId="0" applyNumberFormat="1" applyFont="1" applyFill="1" applyBorder="1" applyAlignment="1">
      <alignment horizontal="center" vertical="center"/>
    </xf>
    <xf numFmtId="2" fontId="1" fillId="2" borderId="45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2" borderId="3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37" fillId="4" borderId="42" xfId="0" applyFont="1" applyFill="1" applyBorder="1" applyAlignment="1" applyProtection="1">
      <alignment horizontal="justify" vertical="top"/>
      <protection locked="0"/>
    </xf>
    <xf numFmtId="0" fontId="37" fillId="4" borderId="0" xfId="0" applyFont="1" applyFill="1" applyAlignment="1" applyProtection="1">
      <alignment horizontal="justify" vertical="top"/>
      <protection locked="0"/>
    </xf>
    <xf numFmtId="0" fontId="37" fillId="4" borderId="23" xfId="0" applyFont="1" applyFill="1" applyBorder="1" applyAlignment="1" applyProtection="1">
      <alignment horizontal="justify" vertical="top"/>
      <protection locked="0"/>
    </xf>
    <xf numFmtId="0" fontId="37" fillId="4" borderId="54" xfId="0" applyFont="1" applyFill="1" applyBorder="1" applyAlignment="1" applyProtection="1">
      <alignment horizontal="justify" vertical="top"/>
      <protection locked="0"/>
    </xf>
    <xf numFmtId="0" fontId="37" fillId="4" borderId="24" xfId="0" applyFont="1" applyFill="1" applyBorder="1" applyAlignment="1" applyProtection="1">
      <alignment horizontal="justify" vertical="top"/>
      <protection locked="0"/>
    </xf>
    <xf numFmtId="0" fontId="37" fillId="4" borderId="25" xfId="0" applyFont="1" applyFill="1" applyBorder="1" applyAlignment="1" applyProtection="1">
      <alignment horizontal="justify" vertical="top"/>
      <protection locked="0"/>
    </xf>
    <xf numFmtId="0" fontId="26" fillId="2" borderId="42" xfId="0" quotePrefix="1" applyFont="1" applyFill="1" applyBorder="1" applyAlignment="1">
      <alignment horizontal="justify" vertical="top"/>
    </xf>
    <xf numFmtId="0" fontId="26" fillId="2" borderId="0" xfId="0" applyFont="1" applyFill="1" applyAlignment="1">
      <alignment horizontal="justify" vertical="top"/>
    </xf>
    <xf numFmtId="0" fontId="26" fillId="2" borderId="9" xfId="0" applyFont="1" applyFill="1" applyBorder="1" applyAlignment="1">
      <alignment horizontal="justify" vertical="top"/>
    </xf>
    <xf numFmtId="0" fontId="26" fillId="2" borderId="54" xfId="0" applyFont="1" applyFill="1" applyBorder="1" applyAlignment="1">
      <alignment horizontal="justify" vertical="top"/>
    </xf>
    <xf numFmtId="0" fontId="26" fillId="2" borderId="24" xfId="0" applyFont="1" applyFill="1" applyBorder="1" applyAlignment="1">
      <alignment horizontal="justify" vertical="top"/>
    </xf>
    <xf numFmtId="0" fontId="26" fillId="2" borderId="10" xfId="0" applyFont="1" applyFill="1" applyBorder="1" applyAlignment="1">
      <alignment horizontal="justify" vertical="top"/>
    </xf>
    <xf numFmtId="0" fontId="1" fillId="4" borderId="31" xfId="0" applyFont="1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5" fillId="2" borderId="42" xfId="0" applyFont="1" applyFill="1" applyBorder="1" applyAlignment="1">
      <alignment horizontal="justify" vertical="top"/>
    </xf>
    <xf numFmtId="0" fontId="55" fillId="2" borderId="0" xfId="0" applyFont="1" applyFill="1" applyAlignment="1">
      <alignment horizontal="justify" vertical="top"/>
    </xf>
    <xf numFmtId="0" fontId="55" fillId="2" borderId="9" xfId="0" applyFont="1" applyFill="1" applyBorder="1" applyAlignment="1">
      <alignment horizontal="justify" vertical="top"/>
    </xf>
    <xf numFmtId="0" fontId="55" fillId="2" borderId="54" xfId="0" applyFont="1" applyFill="1" applyBorder="1" applyAlignment="1">
      <alignment horizontal="justify" vertical="top"/>
    </xf>
    <xf numFmtId="0" fontId="55" fillId="2" borderId="24" xfId="0" applyFont="1" applyFill="1" applyBorder="1" applyAlignment="1">
      <alignment horizontal="justify" vertical="top"/>
    </xf>
    <xf numFmtId="0" fontId="55" fillId="2" borderId="10" xfId="0" applyFont="1" applyFill="1" applyBorder="1" applyAlignment="1">
      <alignment horizontal="justify" vertical="top"/>
    </xf>
    <xf numFmtId="0" fontId="0" fillId="2" borderId="0" xfId="0" applyFill="1" applyAlignment="1" applyProtection="1">
      <alignment horizontal="center"/>
      <protection hidden="1"/>
    </xf>
    <xf numFmtId="167" fontId="0" fillId="0" borderId="43" xfId="0" applyNumberFormat="1" applyBorder="1" applyAlignment="1">
      <alignment horizontal="center" vertical="center"/>
    </xf>
    <xf numFmtId="167" fontId="0" fillId="0" borderId="78" xfId="0" applyNumberFormat="1" applyBorder="1" applyAlignment="1">
      <alignment horizontal="center" vertical="center"/>
    </xf>
    <xf numFmtId="0" fontId="1" fillId="4" borderId="27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>
      <alignment horizontal="left" vertical="center" wrapText="1"/>
    </xf>
    <xf numFmtId="1" fontId="3" fillId="2" borderId="24" xfId="0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4" fillId="2" borderId="13" xfId="0" applyFont="1" applyFill="1" applyBorder="1" applyAlignment="1">
      <alignment horizontal="left" vertical="center" wrapText="1"/>
    </xf>
    <xf numFmtId="0" fontId="44" fillId="2" borderId="25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0" xfId="0" applyBorder="1"/>
    <xf numFmtId="0" fontId="15" fillId="0" borderId="12" xfId="0" applyFont="1" applyBorder="1" applyAlignment="1">
      <alignment horizontal="center" vertical="center" wrapText="1"/>
    </xf>
    <xf numFmtId="0" fontId="0" fillId="0" borderId="16" xfId="0" applyBorder="1"/>
    <xf numFmtId="0" fontId="0" fillId="0" borderId="0" xfId="0"/>
    <xf numFmtId="0" fontId="0" fillId="0" borderId="9" xfId="0" applyBorder="1"/>
    <xf numFmtId="0" fontId="0" fillId="0" borderId="13" xfId="0" applyBorder="1"/>
    <xf numFmtId="0" fontId="0" fillId="0" borderId="24" xfId="0" applyBorder="1"/>
    <xf numFmtId="0" fontId="0" fillId="0" borderId="10" xfId="0" applyBorder="1"/>
    <xf numFmtId="0" fontId="40" fillId="2" borderId="12" xfId="0" applyFont="1" applyFill="1" applyBorder="1" applyAlignment="1">
      <alignment horizontal="center" vertical="center"/>
    </xf>
    <xf numFmtId="0" fontId="40" fillId="2" borderId="30" xfId="0" applyFont="1" applyFill="1" applyBorder="1" applyAlignment="1">
      <alignment horizontal="center" vertical="center"/>
    </xf>
    <xf numFmtId="167" fontId="0" fillId="0" borderId="55" xfId="0" applyNumberFormat="1" applyBorder="1" applyAlignment="1">
      <alignment horizontal="center" vertical="center"/>
    </xf>
    <xf numFmtId="167" fontId="0" fillId="0" borderId="56" xfId="0" applyNumberForma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left" vertical="center" wrapText="1"/>
    </xf>
    <xf numFmtId="1" fontId="3" fillId="2" borderId="19" xfId="0" applyNumberFormat="1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5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center" vertical="center"/>
    </xf>
    <xf numFmtId="0" fontId="57" fillId="4" borderId="1" xfId="0" applyFont="1" applyFill="1" applyBorder="1" applyAlignment="1">
      <alignment horizontal="justify" vertical="top"/>
    </xf>
    <xf numFmtId="1" fontId="6" fillId="2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left"/>
    </xf>
    <xf numFmtId="0" fontId="37" fillId="2" borderId="15" xfId="0" applyFont="1" applyFill="1" applyBorder="1" applyAlignment="1">
      <alignment horizontal="left"/>
    </xf>
    <xf numFmtId="0" fontId="37" fillId="2" borderId="17" xfId="0" applyFont="1" applyFill="1" applyBorder="1" applyAlignment="1">
      <alignment horizontal="left"/>
    </xf>
    <xf numFmtId="0" fontId="37" fillId="4" borderId="16" xfId="0" applyFont="1" applyFill="1" applyBorder="1" applyAlignment="1" applyProtection="1">
      <alignment horizontal="center" vertical="top"/>
      <protection locked="0"/>
    </xf>
    <xf numFmtId="0" fontId="37" fillId="4" borderId="0" xfId="0" applyFont="1" applyFill="1" applyAlignment="1" applyProtection="1">
      <alignment horizontal="center" vertical="top"/>
      <protection locked="0"/>
    </xf>
    <xf numFmtId="0" fontId="37" fillId="4" borderId="20" xfId="0" applyFont="1" applyFill="1" applyBorder="1" applyAlignment="1" applyProtection="1">
      <alignment horizontal="center" vertical="top"/>
      <protection locked="0"/>
    </xf>
    <xf numFmtId="0" fontId="37" fillId="4" borderId="21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Protection="1">
      <protection locked="0"/>
    </xf>
    <xf numFmtId="1" fontId="6" fillId="2" borderId="0" xfId="0" applyNumberFormat="1" applyFont="1" applyFill="1" applyAlignment="1">
      <alignment horizontal="center" vertical="center"/>
    </xf>
    <xf numFmtId="0" fontId="58" fillId="2" borderId="55" xfId="0" applyFont="1" applyFill="1" applyBorder="1" applyAlignment="1">
      <alignment horizontal="left" vertical="center" wrapText="1"/>
    </xf>
    <xf numFmtId="0" fontId="58" fillId="2" borderId="59" xfId="0" applyFont="1" applyFill="1" applyBorder="1" applyAlignment="1">
      <alignment horizontal="left" vertical="center" wrapText="1"/>
    </xf>
    <xf numFmtId="0" fontId="58" fillId="2" borderId="56" xfId="0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7" fillId="2" borderId="16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left"/>
    </xf>
    <xf numFmtId="0" fontId="37" fillId="2" borderId="0" xfId="0" applyFont="1" applyFill="1" applyAlignment="1">
      <alignment horizontal="left"/>
    </xf>
    <xf numFmtId="0" fontId="37" fillId="2" borderId="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7" fillId="0" borderId="60" xfId="0" applyFont="1" applyBorder="1" applyAlignment="1" applyProtection="1">
      <alignment horizontal="left" vertical="center" wrapText="1"/>
      <protection hidden="1"/>
    </xf>
    <xf numFmtId="0" fontId="27" fillId="0" borderId="34" xfId="0" applyFont="1" applyBorder="1" applyAlignment="1" applyProtection="1">
      <alignment horizontal="left" vertical="center" wrapText="1"/>
      <protection hidden="1"/>
    </xf>
    <xf numFmtId="0" fontId="27" fillId="0" borderId="3" xfId="0" applyFont="1" applyBorder="1" applyAlignment="1" applyProtection="1">
      <alignment horizontal="left" vertical="center" wrapText="1"/>
      <protection hidden="1"/>
    </xf>
    <xf numFmtId="0" fontId="27" fillId="0" borderId="4" xfId="0" applyFont="1" applyBorder="1" applyAlignment="1" applyProtection="1">
      <alignment horizontal="left" vertical="center" wrapText="1"/>
      <protection hidden="1"/>
    </xf>
    <xf numFmtId="0" fontId="56" fillId="11" borderId="35" xfId="2" applyFont="1" applyFill="1" applyBorder="1" applyAlignment="1" applyProtection="1">
      <alignment horizontal="center" vertical="center"/>
      <protection hidden="1"/>
    </xf>
    <xf numFmtId="0" fontId="56" fillId="11" borderId="36" xfId="2" applyFont="1" applyFill="1" applyBorder="1" applyAlignment="1" applyProtection="1">
      <alignment horizontal="center" vertical="center"/>
      <protection hidden="1"/>
    </xf>
    <xf numFmtId="0" fontId="56" fillId="11" borderId="37" xfId="2" applyFont="1" applyFill="1" applyBorder="1" applyAlignment="1" applyProtection="1">
      <alignment horizontal="center" vertical="center"/>
      <protection hidden="1"/>
    </xf>
    <xf numFmtId="0" fontId="56" fillId="11" borderId="60" xfId="2" applyFont="1" applyFill="1" applyBorder="1" applyAlignment="1" applyProtection="1">
      <alignment horizontal="center" vertical="center"/>
      <protection hidden="1"/>
    </xf>
    <xf numFmtId="0" fontId="56" fillId="11" borderId="34" xfId="2" applyFont="1" applyFill="1" applyBorder="1" applyAlignment="1" applyProtection="1">
      <alignment horizontal="center" vertical="center"/>
      <protection hidden="1"/>
    </xf>
    <xf numFmtId="0" fontId="56" fillId="11" borderId="61" xfId="2" applyFont="1" applyFill="1" applyBorder="1" applyAlignment="1" applyProtection="1">
      <alignment horizontal="center" vertical="center"/>
      <protection hidden="1"/>
    </xf>
    <xf numFmtId="2" fontId="21" fillId="9" borderId="57" xfId="2" applyNumberFormat="1" applyFill="1" applyBorder="1" applyAlignment="1" applyProtection="1">
      <alignment horizontal="center" vertical="center"/>
      <protection hidden="1"/>
    </xf>
    <xf numFmtId="2" fontId="21" fillId="9" borderId="62" xfId="2" applyNumberFormat="1" applyFill="1" applyBorder="1" applyAlignment="1" applyProtection="1">
      <alignment horizontal="center" vertical="center"/>
      <protection hidden="1"/>
    </xf>
    <xf numFmtId="2" fontId="21" fillId="9" borderId="40" xfId="2" applyNumberFormat="1" applyFill="1" applyBorder="1" applyAlignment="1" applyProtection="1">
      <alignment horizontal="center" vertical="center"/>
      <protection hidden="1"/>
    </xf>
    <xf numFmtId="2" fontId="21" fillId="9" borderId="55" xfId="2" applyNumberFormat="1" applyFill="1" applyBorder="1" applyAlignment="1" applyProtection="1">
      <alignment horizontal="center" vertical="center"/>
      <protection hidden="1"/>
    </xf>
    <xf numFmtId="2" fontId="21" fillId="9" borderId="59" xfId="2" applyNumberFormat="1" applyFill="1" applyBorder="1" applyAlignment="1" applyProtection="1">
      <alignment horizontal="center" vertical="center"/>
      <protection hidden="1"/>
    </xf>
    <xf numFmtId="2" fontId="21" fillId="9" borderId="58" xfId="2" applyNumberFormat="1" applyFill="1" applyBorder="1" applyAlignment="1" applyProtection="1">
      <alignment horizontal="center" vertical="center"/>
      <protection hidden="1"/>
    </xf>
    <xf numFmtId="2" fontId="21" fillId="9" borderId="43" xfId="2" applyNumberFormat="1" applyFill="1" applyBorder="1" applyAlignment="1" applyProtection="1">
      <alignment horizontal="center" vertical="center"/>
      <protection hidden="1"/>
    </xf>
    <xf numFmtId="2" fontId="21" fillId="9" borderId="63" xfId="2" applyNumberFormat="1" applyFill="1" applyBorder="1" applyAlignment="1" applyProtection="1">
      <alignment horizontal="center" vertical="center"/>
      <protection hidden="1"/>
    </xf>
    <xf numFmtId="2" fontId="21" fillId="9" borderId="45" xfId="2" applyNumberFormat="1" applyFill="1" applyBorder="1" applyAlignment="1" applyProtection="1">
      <alignment horizontal="center" vertical="center"/>
      <protection hidden="1"/>
    </xf>
    <xf numFmtId="0" fontId="56" fillId="10" borderId="35" xfId="2" applyFont="1" applyFill="1" applyBorder="1" applyAlignment="1" applyProtection="1">
      <alignment horizontal="center" vertical="center"/>
      <protection hidden="1"/>
    </xf>
    <xf numFmtId="0" fontId="56" fillId="10" borderId="36" xfId="2" applyFont="1" applyFill="1" applyBorder="1" applyAlignment="1" applyProtection="1">
      <alignment horizontal="center" vertical="center"/>
      <protection hidden="1"/>
    </xf>
    <xf numFmtId="0" fontId="56" fillId="10" borderId="37" xfId="2" applyFont="1" applyFill="1" applyBorder="1" applyAlignment="1" applyProtection="1">
      <alignment horizontal="center" vertical="center"/>
      <protection hidden="1"/>
    </xf>
    <xf numFmtId="0" fontId="71" fillId="10" borderId="60" xfId="0" applyFont="1" applyFill="1" applyBorder="1" applyAlignment="1" applyProtection="1">
      <alignment horizontal="center"/>
      <protection hidden="1"/>
    </xf>
    <xf numFmtId="0" fontId="71" fillId="10" borderId="61" xfId="0" applyFont="1" applyFill="1" applyBorder="1" applyAlignment="1" applyProtection="1">
      <alignment horizontal="center"/>
      <protection hidden="1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1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ont>
        <sz val="11"/>
        <color rgb="FF000000"/>
        <name val="Calibri"/>
      </font>
      <fill>
        <patternFill>
          <bgColor rgb="FFFCD5B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4</xdr:col>
      <xdr:colOff>981075</xdr:colOff>
      <xdr:row>4</xdr:row>
      <xdr:rowOff>66675</xdr:rowOff>
    </xdr:to>
    <xdr:pic>
      <xdr:nvPicPr>
        <xdr:cNvPr id="1035" name="Imagen 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25890"/>
        <a:stretch>
          <a:fillRect/>
        </a:stretch>
      </xdr:blipFill>
      <xdr:spPr bwMode="auto">
        <a:xfrm>
          <a:off x="457200" y="104775"/>
          <a:ext cx="2343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4</xdr:col>
      <xdr:colOff>790576</xdr:colOff>
      <xdr:row>4</xdr:row>
      <xdr:rowOff>66675</xdr:rowOff>
    </xdr:to>
    <xdr:pic>
      <xdr:nvPicPr>
        <xdr:cNvPr id="5131" name="Imagen 4">
          <a:extLst>
            <a:ext uri="{FF2B5EF4-FFF2-40B4-BE49-F238E27FC236}">
              <a16:creationId xmlns:a16="http://schemas.microsoft.com/office/drawing/2014/main" id="{00000000-0008-0000-01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25890"/>
        <a:stretch>
          <a:fillRect/>
        </a:stretch>
      </xdr:blipFill>
      <xdr:spPr bwMode="auto">
        <a:xfrm>
          <a:off x="457200" y="104775"/>
          <a:ext cx="23431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2</xdr:col>
      <xdr:colOff>552450</xdr:colOff>
      <xdr:row>3</xdr:row>
      <xdr:rowOff>180975</xdr:rowOff>
    </xdr:to>
    <xdr:pic>
      <xdr:nvPicPr>
        <xdr:cNvPr id="3080" name="Imagen 2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25890"/>
        <a:stretch>
          <a:fillRect/>
        </a:stretch>
      </xdr:blipFill>
      <xdr:spPr bwMode="auto">
        <a:xfrm>
          <a:off x="104775" y="152400"/>
          <a:ext cx="23336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161925</xdr:rowOff>
    </xdr:from>
    <xdr:to>
      <xdr:col>4</xdr:col>
      <xdr:colOff>0</xdr:colOff>
      <xdr:row>4</xdr:row>
      <xdr:rowOff>28575</xdr:rowOff>
    </xdr:to>
    <xdr:pic>
      <xdr:nvPicPr>
        <xdr:cNvPr id="4104" name="Imagen 2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r="25890"/>
        <a:stretch>
          <a:fillRect/>
        </a:stretch>
      </xdr:blipFill>
      <xdr:spPr bwMode="auto">
        <a:xfrm>
          <a:off x="320675" y="161925"/>
          <a:ext cx="2574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3</xdr:col>
      <xdr:colOff>2752725</xdr:colOff>
      <xdr:row>4</xdr:row>
      <xdr:rowOff>114300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28575"/>
          <a:ext cx="4248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57150</xdr:colOff>
      <xdr:row>0</xdr:row>
      <xdr:rowOff>47625</xdr:rowOff>
    </xdr:from>
    <xdr:to>
      <xdr:col>16</xdr:col>
      <xdr:colOff>1036863</xdr:colOff>
      <xdr:row>4</xdr:row>
      <xdr:rowOff>114300</xdr:rowOff>
    </xdr:to>
    <xdr:pic>
      <xdr:nvPicPr>
        <xdr:cNvPr id="7176" name="Imagen 2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b="16061"/>
        <a:stretch>
          <a:fillRect/>
        </a:stretch>
      </xdr:blipFill>
      <xdr:spPr bwMode="auto">
        <a:xfrm>
          <a:off x="13269686" y="47625"/>
          <a:ext cx="3782785" cy="61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57150</xdr:colOff>
      <xdr:row>0</xdr:row>
      <xdr:rowOff>47625</xdr:rowOff>
    </xdr:from>
    <xdr:to>
      <xdr:col>29</xdr:col>
      <xdr:colOff>655863</xdr:colOff>
      <xdr:row>4</xdr:row>
      <xdr:rowOff>114300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b="16061"/>
        <a:stretch>
          <a:fillRect/>
        </a:stretch>
      </xdr:blipFill>
      <xdr:spPr bwMode="auto">
        <a:xfrm>
          <a:off x="13807786" y="47625"/>
          <a:ext cx="3750622" cy="620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IU142"/>
  <sheetViews>
    <sheetView tabSelected="1" view="pageLayout" topLeftCell="B1" workbookViewId="0">
      <selection activeCell="N7" sqref="N7"/>
    </sheetView>
  </sheetViews>
  <sheetFormatPr defaultColWidth="17.7109375" defaultRowHeight="15" x14ac:dyDescent="0.25"/>
  <cols>
    <col min="1" max="1" width="3.28515625" bestFit="1" customWidth="1"/>
    <col min="2" max="2" width="4.42578125" customWidth="1"/>
    <col min="3" max="4" width="10" customWidth="1"/>
    <col min="5" max="5" width="30.42578125" bestFit="1" customWidth="1"/>
    <col min="6" max="6" width="16.140625" style="22" bestFit="1" customWidth="1"/>
    <col min="7" max="9" width="20.42578125" customWidth="1"/>
    <col min="10" max="10" width="17.42578125" customWidth="1"/>
    <col min="11" max="11" width="8.85546875" customWidth="1"/>
    <col min="12" max="12" width="10.28515625" customWidth="1"/>
    <col min="13" max="13" width="6.85546875" customWidth="1"/>
    <col min="14" max="14" width="11.140625" customWidth="1"/>
    <col min="15" max="15" width="4" customWidth="1"/>
    <col min="16" max="16" width="24.28515625" customWidth="1"/>
    <col min="17" max="17" width="21.42578125" bestFit="1" customWidth="1"/>
    <col min="18" max="18" width="15.42578125" customWidth="1"/>
    <col min="19" max="19" width="17.7109375" customWidth="1"/>
    <col min="20" max="20" width="20.140625" customWidth="1"/>
    <col min="21" max="21" width="22.28515625" customWidth="1"/>
    <col min="22" max="22" width="20.42578125" customWidth="1"/>
    <col min="23" max="23" width="22.7109375" customWidth="1"/>
    <col min="24" max="24" width="20.42578125" customWidth="1"/>
    <col min="25" max="25" width="22.7109375" customWidth="1"/>
    <col min="26" max="26" width="18.85546875" customWidth="1"/>
    <col min="27" max="27" width="21" customWidth="1"/>
    <col min="28" max="28" width="17" customWidth="1"/>
    <col min="29" max="29" width="19.140625" customWidth="1"/>
    <col min="30" max="30" width="16.28515625" customWidth="1"/>
    <col min="31" max="31" width="18.42578125" customWidth="1"/>
    <col min="32" max="32" width="16.28515625" customWidth="1"/>
    <col min="33" max="33" width="18.42578125" customWidth="1"/>
    <col min="34" max="34" width="30.140625" customWidth="1"/>
    <col min="35" max="35" width="32.28515625" customWidth="1"/>
    <col min="36" max="36" width="19.140625" customWidth="1"/>
    <col min="37" max="37" width="21.28515625" customWidth="1"/>
    <col min="38" max="38" width="22.7109375" customWidth="1"/>
    <col min="39" max="39" width="24.85546875" customWidth="1"/>
    <col min="40" max="40" width="15.42578125" customWidth="1"/>
    <col min="41" max="41" width="17.7109375" customWidth="1"/>
    <col min="42" max="42" width="20.28515625" customWidth="1"/>
    <col min="43" max="43" width="22.42578125" customWidth="1"/>
    <col min="44" max="44" width="21.85546875" customWidth="1"/>
    <col min="45" max="45" width="24" customWidth="1"/>
    <col min="46" max="46" width="20.140625" customWidth="1"/>
    <col min="47" max="47" width="22.28515625" customWidth="1"/>
    <col min="48" max="48" width="24" bestFit="1" customWidth="1"/>
    <col min="49" max="49" width="26.140625" bestFit="1" customWidth="1"/>
    <col min="50" max="50" width="19.28515625" customWidth="1"/>
    <col min="51" max="51" width="21.42578125" customWidth="1"/>
    <col min="52" max="52" width="23.28515625" bestFit="1" customWidth="1"/>
    <col min="53" max="53" width="25.42578125" customWidth="1"/>
    <col min="54" max="54" width="21.42578125" customWidth="1"/>
    <col min="55" max="55" width="23.7109375" bestFit="1" customWidth="1"/>
    <col min="56" max="56" width="20.85546875" customWidth="1"/>
    <col min="57" max="57" width="23" customWidth="1"/>
    <col min="58" max="58" width="21.85546875" customWidth="1"/>
    <col min="59" max="59" width="24" customWidth="1"/>
    <col min="60" max="60" width="21.7109375" customWidth="1"/>
    <col min="61" max="61" width="23.85546875" customWidth="1"/>
    <col min="62" max="62" width="23.140625" customWidth="1"/>
    <col min="63" max="63" width="25.28515625" bestFit="1" customWidth="1"/>
    <col min="64" max="64" width="20" customWidth="1"/>
    <col min="65" max="65" width="22.140625" customWidth="1"/>
    <col min="66" max="66" width="23.28515625" customWidth="1"/>
    <col min="67" max="67" width="25.42578125" customWidth="1"/>
    <col min="68" max="68" width="21.42578125" customWidth="1"/>
    <col min="69" max="69" width="23.7109375" customWidth="1"/>
    <col min="70" max="70" width="20.85546875" customWidth="1"/>
    <col min="71" max="71" width="23" customWidth="1"/>
    <col min="72" max="72" width="23.28515625" customWidth="1"/>
    <col min="73" max="73" width="25.28515625" customWidth="1"/>
    <col min="74" max="74" width="23.28515625" customWidth="1"/>
    <col min="75" max="75" width="25.28515625" bestFit="1" customWidth="1"/>
    <col min="76" max="76" width="21.42578125" customWidth="1"/>
    <col min="77" max="77" width="23.7109375" customWidth="1"/>
    <col min="78" max="78" width="20.7109375" customWidth="1"/>
    <col min="79" max="79" width="22.85546875" customWidth="1"/>
    <col min="80" max="80" width="22.7109375" customWidth="1"/>
    <col min="81" max="81" width="24.85546875" customWidth="1"/>
    <col min="82" max="82" width="22.7109375" customWidth="1"/>
    <col min="83" max="83" width="24.85546875" customWidth="1"/>
    <col min="84" max="84" width="22.28515625" customWidth="1"/>
    <col min="85" max="85" width="24.28515625" customWidth="1"/>
    <col min="86" max="86" width="11.28515625" customWidth="1"/>
    <col min="87" max="87" width="23.7109375" customWidth="1"/>
    <col min="88" max="88" width="25.85546875" customWidth="1"/>
    <col min="89" max="89" width="19" customWidth="1"/>
    <col min="90" max="90" width="21.140625" customWidth="1"/>
    <col min="91" max="91" width="20.28515625" customWidth="1"/>
    <col min="92" max="92" width="22.42578125" customWidth="1"/>
    <col min="93" max="93" width="19.28515625" customWidth="1"/>
    <col min="94" max="94" width="21.42578125" customWidth="1"/>
    <col min="95" max="95" width="20.28515625" customWidth="1"/>
    <col min="96" max="96" width="22.42578125" customWidth="1"/>
    <col min="97" max="97" width="17.85546875" customWidth="1"/>
    <col min="98" max="98" width="20" customWidth="1"/>
    <col min="99" max="99" width="18.85546875" customWidth="1"/>
    <col min="100" max="100" width="21" customWidth="1"/>
    <col min="101" max="101" width="20.42578125" customWidth="1"/>
    <col min="102" max="102" width="22.7109375" customWidth="1"/>
    <col min="103" max="103" width="22.28515625" customWidth="1"/>
    <col min="104" max="104" width="24.42578125" customWidth="1"/>
    <col min="105" max="105" width="22.7109375" customWidth="1"/>
    <col min="106" max="106" width="24.85546875" customWidth="1"/>
    <col min="107" max="107" width="20.7109375" customWidth="1"/>
    <col min="108" max="108" width="22.85546875" customWidth="1"/>
    <col min="109" max="109" width="27" customWidth="1"/>
    <col min="110" max="110" width="29.140625" customWidth="1"/>
    <col min="111" max="111" width="22.28515625" bestFit="1" customWidth="1"/>
    <col min="112" max="112" width="24.42578125" customWidth="1"/>
    <col min="113" max="113" width="21.42578125" customWidth="1"/>
    <col min="114" max="114" width="23.7109375" bestFit="1" customWidth="1"/>
    <col min="115" max="115" width="21.42578125" customWidth="1"/>
    <col min="116" max="116" width="23.7109375" customWidth="1"/>
    <col min="117" max="117" width="17.28515625" customWidth="1"/>
    <col min="118" max="118" width="19.42578125" customWidth="1"/>
    <col min="119" max="119" width="17.28515625" customWidth="1"/>
    <col min="120" max="120" width="19.42578125" customWidth="1"/>
    <col min="121" max="121" width="22.140625" customWidth="1"/>
    <col min="122" max="122" width="24.28515625" customWidth="1"/>
    <col min="123" max="123" width="19.28515625" customWidth="1"/>
    <col min="124" max="124" width="21.42578125" customWidth="1"/>
    <col min="125" max="125" width="15.42578125" customWidth="1"/>
    <col min="126" max="126" width="17.7109375" customWidth="1"/>
    <col min="127" max="127" width="20.140625" customWidth="1"/>
    <col min="128" max="128" width="22.28515625" bestFit="1" customWidth="1"/>
    <col min="129" max="129" width="20.42578125" customWidth="1"/>
    <col min="130" max="130" width="22.7109375" bestFit="1" customWidth="1"/>
    <col min="131" max="131" width="20.42578125" customWidth="1"/>
    <col min="132" max="132" width="22.7109375" customWidth="1"/>
    <col min="133" max="133" width="18.85546875" customWidth="1"/>
    <col min="134" max="134" width="21" customWidth="1"/>
    <col min="135" max="135" width="17" customWidth="1"/>
    <col min="136" max="136" width="19.140625" customWidth="1"/>
    <col min="137" max="137" width="16.28515625" customWidth="1"/>
    <col min="138" max="138" width="18.42578125" customWidth="1"/>
    <col min="139" max="139" width="16.28515625" customWidth="1"/>
    <col min="140" max="140" width="18.42578125" customWidth="1"/>
    <col min="141" max="141" width="30.140625" bestFit="1" customWidth="1"/>
    <col min="142" max="142" width="32.28515625" customWidth="1"/>
    <col min="143" max="143" width="19.140625" customWidth="1"/>
    <col min="144" max="144" width="21.28515625" bestFit="1" customWidth="1"/>
    <col min="145" max="145" width="22.7109375" bestFit="1" customWidth="1"/>
    <col min="146" max="146" width="24.85546875" customWidth="1"/>
    <col min="147" max="147" width="15.42578125" customWidth="1"/>
    <col min="148" max="148" width="17.7109375" customWidth="1"/>
    <col min="149" max="149" width="20.28515625" customWidth="1"/>
    <col min="150" max="150" width="22.42578125" customWidth="1"/>
    <col min="151" max="151" width="21.85546875" customWidth="1"/>
    <col min="152" max="152" width="24" bestFit="1" customWidth="1"/>
    <col min="153" max="153" width="20.140625" customWidth="1"/>
    <col min="154" max="154" width="22.28515625" bestFit="1" customWidth="1"/>
    <col min="155" max="155" width="24" bestFit="1" customWidth="1"/>
    <col min="156" max="156" width="26.140625" customWidth="1"/>
    <col min="157" max="157" width="19.28515625" customWidth="1"/>
    <col min="158" max="158" width="21.42578125" customWidth="1"/>
    <col min="159" max="159" width="23.28515625" customWidth="1"/>
    <col min="160" max="160" width="25.42578125" bestFit="1" customWidth="1"/>
    <col min="161" max="161" width="21.42578125" customWidth="1"/>
    <col min="162" max="162" width="23.7109375" customWidth="1"/>
    <col min="163" max="163" width="20.85546875" customWidth="1"/>
    <col min="164" max="164" width="23" customWidth="1"/>
    <col min="165" max="165" width="21.85546875" bestFit="1" customWidth="1"/>
    <col min="166" max="166" width="24" customWidth="1"/>
    <col min="167" max="167" width="21.7109375" bestFit="1" customWidth="1"/>
    <col min="168" max="168" width="23.85546875" customWidth="1"/>
    <col min="169" max="169" width="23.140625" bestFit="1" customWidth="1"/>
    <col min="170" max="170" width="25.28515625" customWidth="1"/>
    <col min="171" max="171" width="20" customWidth="1"/>
    <col min="172" max="172" width="22.140625" customWidth="1"/>
    <col min="173" max="173" width="23.28515625" customWidth="1"/>
    <col min="174" max="174" width="25.42578125" bestFit="1" customWidth="1"/>
    <col min="175" max="175" width="21.42578125" customWidth="1"/>
    <col min="176" max="176" width="23.7109375" customWidth="1"/>
    <col min="177" max="177" width="20.85546875" bestFit="1" customWidth="1"/>
    <col min="178" max="178" width="23" bestFit="1" customWidth="1"/>
    <col min="179" max="179" width="23.28515625" bestFit="1" customWidth="1"/>
    <col min="180" max="180" width="25.28515625" bestFit="1" customWidth="1"/>
    <col min="181" max="181" width="23.28515625" customWidth="1"/>
    <col min="182" max="182" width="25.28515625" bestFit="1" customWidth="1"/>
    <col min="183" max="183" width="21.42578125" customWidth="1"/>
    <col min="184" max="184" width="23.7109375" bestFit="1" customWidth="1"/>
    <col min="185" max="185" width="20.7109375" customWidth="1"/>
    <col min="186" max="186" width="22.85546875" customWidth="1"/>
    <col min="187" max="187" width="22.7109375" customWidth="1"/>
    <col min="188" max="188" width="24.85546875" bestFit="1" customWidth="1"/>
    <col min="189" max="189" width="22.7109375" customWidth="1"/>
    <col min="190" max="190" width="24.85546875" bestFit="1" customWidth="1"/>
    <col min="191" max="191" width="22.28515625" bestFit="1" customWidth="1"/>
    <col min="192" max="192" width="24.28515625" bestFit="1" customWidth="1"/>
    <col min="193" max="193" width="7.28515625" customWidth="1"/>
    <col min="194" max="194" width="23.7109375" bestFit="1" customWidth="1"/>
    <col min="195" max="195" width="25.85546875" bestFit="1" customWidth="1"/>
    <col min="196" max="196" width="19" bestFit="1" customWidth="1"/>
    <col min="197" max="197" width="21.140625" bestFit="1" customWidth="1"/>
    <col min="198" max="198" width="20.28515625" customWidth="1"/>
    <col min="199" max="199" width="22.42578125" customWidth="1"/>
    <col min="200" max="200" width="19.28515625" customWidth="1"/>
    <col min="201" max="201" width="21.42578125" customWidth="1"/>
    <col min="202" max="202" width="20.28515625" bestFit="1" customWidth="1"/>
    <col min="203" max="203" width="22.42578125" bestFit="1" customWidth="1"/>
    <col min="204" max="204" width="17.85546875" customWidth="1"/>
    <col min="205" max="205" width="20" customWidth="1"/>
    <col min="206" max="206" width="18.85546875" customWidth="1"/>
    <col min="207" max="207" width="21" bestFit="1" customWidth="1"/>
    <col min="208" max="208" width="20.42578125" customWidth="1"/>
    <col min="209" max="209" width="22.7109375" customWidth="1"/>
    <col min="210" max="210" width="22.28515625" customWidth="1"/>
    <col min="211" max="211" width="24.42578125" customWidth="1"/>
    <col min="212" max="212" width="22.7109375" bestFit="1" customWidth="1"/>
    <col min="213" max="213" width="24.85546875" bestFit="1" customWidth="1"/>
    <col min="214" max="214" width="20.7109375" bestFit="1" customWidth="1"/>
    <col min="215" max="215" width="22.85546875" bestFit="1" customWidth="1"/>
    <col min="216" max="216" width="27" customWidth="1"/>
    <col min="217" max="217" width="29.140625" bestFit="1" customWidth="1"/>
    <col min="218" max="218" width="22.28515625" customWidth="1"/>
    <col min="219" max="219" width="24.42578125" customWidth="1"/>
    <col min="220" max="220" width="21.42578125" bestFit="1" customWidth="1"/>
    <col min="221" max="221" width="23.7109375" bestFit="1" customWidth="1"/>
    <col min="222" max="222" width="21.42578125" bestFit="1" customWidth="1"/>
    <col min="223" max="223" width="23.7109375" bestFit="1" customWidth="1"/>
    <col min="224" max="224" width="17.28515625" customWidth="1"/>
    <col min="225" max="225" width="19.42578125" customWidth="1"/>
    <col min="226" max="226" width="17.28515625" customWidth="1"/>
    <col min="227" max="227" width="19.42578125" customWidth="1"/>
    <col min="228" max="228" width="22.140625" customWidth="1"/>
    <col min="229" max="229" width="24.28515625" bestFit="1" customWidth="1"/>
    <col min="230" max="230" width="19.28515625" customWidth="1"/>
    <col min="231" max="231" width="21.42578125" customWidth="1"/>
    <col min="232" max="232" width="15.42578125" customWidth="1"/>
    <col min="233" max="233" width="17.7109375" customWidth="1"/>
    <col min="234" max="234" width="20.140625" customWidth="1"/>
    <col min="235" max="235" width="22.28515625" customWidth="1"/>
    <col min="236" max="236" width="20.42578125" customWidth="1"/>
    <col min="237" max="237" width="22.7109375" customWidth="1"/>
    <col min="238" max="238" width="20.42578125" customWidth="1"/>
    <col min="239" max="239" width="22.7109375" customWidth="1"/>
    <col min="240" max="240" width="18.85546875" customWidth="1"/>
    <col min="241" max="241" width="21" customWidth="1"/>
    <col min="242" max="242" width="17" customWidth="1"/>
    <col min="243" max="243" width="19.140625" customWidth="1"/>
    <col min="244" max="244" width="16.28515625" customWidth="1"/>
    <col min="245" max="245" width="18.42578125" customWidth="1"/>
    <col min="246" max="246" width="16.28515625" customWidth="1"/>
    <col min="247" max="247" width="18.42578125" customWidth="1"/>
    <col min="248" max="248" width="30.140625" bestFit="1" customWidth="1"/>
    <col min="249" max="249" width="32.28515625" bestFit="1" customWidth="1"/>
    <col min="250" max="250" width="19.140625" customWidth="1"/>
    <col min="251" max="251" width="21.28515625" customWidth="1"/>
    <col min="252" max="252" width="22.7109375" bestFit="1" customWidth="1"/>
    <col min="253" max="253" width="24.85546875" bestFit="1" customWidth="1"/>
    <col min="254" max="254" width="15.42578125" customWidth="1"/>
  </cols>
  <sheetData>
    <row r="1" spans="1:15" ht="12.75" customHeight="1" x14ac:dyDescent="0.25">
      <c r="A1" s="656"/>
      <c r="B1" s="657"/>
      <c r="C1" s="657"/>
      <c r="D1" s="657"/>
      <c r="E1" s="658"/>
      <c r="F1" s="666" t="s">
        <v>101</v>
      </c>
      <c r="G1" s="667"/>
      <c r="H1" s="667"/>
      <c r="I1" s="668"/>
      <c r="J1" s="644" t="s">
        <v>17</v>
      </c>
      <c r="K1" s="645"/>
      <c r="L1" s="646"/>
      <c r="M1" s="30" t="s">
        <v>15</v>
      </c>
      <c r="N1" s="31">
        <v>1</v>
      </c>
      <c r="O1" s="32"/>
    </row>
    <row r="2" spans="1:15" ht="12.75" customHeight="1" x14ac:dyDescent="0.25">
      <c r="A2" s="659"/>
      <c r="B2" s="660"/>
      <c r="C2" s="660"/>
      <c r="D2" s="660"/>
      <c r="E2" s="661"/>
      <c r="F2" s="669"/>
      <c r="G2" s="670"/>
      <c r="H2" s="670"/>
      <c r="I2" s="671"/>
      <c r="J2" s="642" t="s">
        <v>77</v>
      </c>
      <c r="K2" s="647"/>
      <c r="L2" s="648"/>
      <c r="M2" s="560" t="s">
        <v>12</v>
      </c>
      <c r="N2" s="92">
        <v>44041</v>
      </c>
      <c r="O2" s="32"/>
    </row>
    <row r="3" spans="1:15" ht="12.75" customHeight="1" x14ac:dyDescent="0.25">
      <c r="A3" s="659"/>
      <c r="B3" s="660"/>
      <c r="C3" s="660"/>
      <c r="D3" s="660"/>
      <c r="E3" s="661"/>
      <c r="F3" s="669"/>
      <c r="G3" s="670"/>
      <c r="H3" s="670"/>
      <c r="I3" s="671"/>
      <c r="J3" s="642"/>
      <c r="K3" s="647"/>
      <c r="L3" s="648"/>
      <c r="M3" s="560" t="s">
        <v>14</v>
      </c>
      <c r="N3" s="526">
        <v>3</v>
      </c>
      <c r="O3" s="32"/>
    </row>
    <row r="4" spans="1:15" ht="12.75" customHeight="1" x14ac:dyDescent="0.25">
      <c r="A4" s="659"/>
      <c r="B4" s="660"/>
      <c r="C4" s="660"/>
      <c r="D4" s="660"/>
      <c r="E4" s="661"/>
      <c r="F4" s="669"/>
      <c r="G4" s="670"/>
      <c r="H4" s="670"/>
      <c r="I4" s="671"/>
      <c r="J4" s="654" t="s">
        <v>102</v>
      </c>
      <c r="K4" s="649">
        <f>IF(M7="yes",WORKDAY(K7,3,0),WORKDAY(K7,7,0))</f>
        <v>10</v>
      </c>
      <c r="L4" s="650"/>
      <c r="M4" s="560" t="s">
        <v>100</v>
      </c>
      <c r="N4" s="93" t="s">
        <v>987</v>
      </c>
      <c r="O4" s="32"/>
    </row>
    <row r="5" spans="1:15" ht="12.75" customHeight="1" thickBot="1" x14ac:dyDescent="0.3">
      <c r="A5" s="662"/>
      <c r="B5" s="663"/>
      <c r="C5" s="663"/>
      <c r="D5" s="663"/>
      <c r="E5" s="664"/>
      <c r="F5" s="672"/>
      <c r="G5" s="673"/>
      <c r="H5" s="673"/>
      <c r="I5" s="674"/>
      <c r="J5" s="655"/>
      <c r="K5" s="651"/>
      <c r="L5" s="652"/>
      <c r="M5" s="94" t="s">
        <v>89</v>
      </c>
      <c r="N5" s="95" t="s">
        <v>16</v>
      </c>
      <c r="O5" s="32"/>
    </row>
    <row r="6" spans="1:15" ht="15" customHeight="1" x14ac:dyDescent="0.25">
      <c r="A6" s="665" t="s">
        <v>0</v>
      </c>
      <c r="B6" s="653"/>
      <c r="C6" s="653"/>
      <c r="D6" s="641"/>
      <c r="E6" s="640" t="s">
        <v>1</v>
      </c>
      <c r="F6" s="641"/>
      <c r="G6" s="148" t="s">
        <v>216</v>
      </c>
      <c r="H6" s="640" t="s">
        <v>2</v>
      </c>
      <c r="I6" s="653"/>
      <c r="J6" s="641"/>
      <c r="K6" s="640" t="s">
        <v>18</v>
      </c>
      <c r="L6" s="641"/>
      <c r="M6" s="58"/>
      <c r="N6" s="57" t="s">
        <v>103</v>
      </c>
      <c r="O6" s="32"/>
    </row>
    <row r="7" spans="1:15" ht="23.1" customHeight="1" thickBot="1" x14ac:dyDescent="0.35">
      <c r="A7" s="629"/>
      <c r="B7" s="630"/>
      <c r="C7" s="630"/>
      <c r="D7" s="631"/>
      <c r="E7" s="604"/>
      <c r="F7" s="605"/>
      <c r="G7" s="485"/>
      <c r="H7" s="634"/>
      <c r="I7" s="635"/>
      <c r="J7" s="636"/>
      <c r="K7" s="606"/>
      <c r="L7" s="607"/>
      <c r="M7" s="596"/>
      <c r="N7" s="88" t="s">
        <v>104</v>
      </c>
      <c r="O7" s="32"/>
    </row>
    <row r="8" spans="1:15" s="32" customFormat="1" ht="3" customHeight="1" thickBot="1" x14ac:dyDescent="0.3">
      <c r="B8" s="28"/>
      <c r="C8" s="28"/>
      <c r="D8" s="28"/>
      <c r="E8" s="27"/>
      <c r="F8" s="27"/>
      <c r="G8" s="28"/>
      <c r="H8" s="326"/>
      <c r="I8" s="326"/>
      <c r="J8" s="326"/>
      <c r="K8" s="25"/>
      <c r="L8" s="25"/>
      <c r="M8" s="25"/>
      <c r="N8" s="25"/>
    </row>
    <row r="9" spans="1:15" ht="25.5" customHeight="1" x14ac:dyDescent="0.25">
      <c r="A9" s="329" t="s">
        <v>213</v>
      </c>
      <c r="B9" s="351" t="s">
        <v>13</v>
      </c>
      <c r="C9" s="351" t="s">
        <v>3</v>
      </c>
      <c r="D9" s="351" t="s">
        <v>4</v>
      </c>
      <c r="E9" s="351" t="s">
        <v>22</v>
      </c>
      <c r="F9" s="351" t="s">
        <v>5</v>
      </c>
      <c r="G9" s="637" t="s">
        <v>1028</v>
      </c>
      <c r="H9" s="638"/>
      <c r="I9" s="638"/>
      <c r="J9" s="639"/>
      <c r="K9" s="51" t="s">
        <v>78</v>
      </c>
      <c r="L9" s="51" t="s">
        <v>1030</v>
      </c>
      <c r="M9" s="51" t="s">
        <v>214</v>
      </c>
      <c r="N9" s="52" t="s">
        <v>59</v>
      </c>
      <c r="O9" s="32"/>
    </row>
    <row r="10" spans="1:15" ht="20.25" customHeight="1" x14ac:dyDescent="0.25">
      <c r="A10" s="330">
        <v>1</v>
      </c>
      <c r="B10" s="552"/>
      <c r="C10" s="549"/>
      <c r="D10" s="549"/>
      <c r="E10" s="550"/>
      <c r="F10" s="548"/>
      <c r="G10" s="597"/>
      <c r="H10" s="598"/>
      <c r="I10" s="598"/>
      <c r="J10" s="599"/>
      <c r="K10" s="553" t="str">
        <f>IF(C10=0,"",IF($N$7="Inch",IF(C10*D10/144&lt;BDD!$AH$21,B10*BDD!$AH$21,B10*(C10*D10/144)),IF(C10*D10&lt;BDD!$AI$21,B10*BDD!$AH$21,B10*(C10*D10*0.00001076391))))</f>
        <v/>
      </c>
      <c r="L10" s="554" t="str">
        <f>IF(F10="","",IF($M$7="yes",1.3*( IF(F10="finger pull",VLOOKUP(E10,BDD!B:T,11,0),IF(F10="hor.sequenced",VLOOKUP(E10,BDD!B:T,10,0),IF(F10="ver.sequenced",VLOOKUP(E10,BDD!B:T,10,0),IF(F10="TWo SIDES",VLOOKUP(E10,BDD!B:T,8,0), VLOOKUP(E10,BDD!B:T,9,0)))))),(IF(F10="finger pull",VLOOKUP(E10,BDD!B:T,11,0),IF(F10="hor.sequenced",VLOOKUP(E10,BDD!B:T,10,0),IF(F10="ver.sequenced",VLOOKUP(E10,BDD!B:T,10,0),IF(F10="TWo SIDES",VLOOKUP(E10,BDD!B:T,8,0), VLOOKUP(E10,BDD!B:T,9,0))))))))</f>
        <v/>
      </c>
      <c r="M10" s="555" t="str">
        <f>IF(L10="","",IF(VLOOKUP(E10,BDD!B:T,17,0)="luxe",$N$43,$N$44))</f>
        <v/>
      </c>
      <c r="N10" s="119" t="str">
        <f>IF(L10="","",IF(G10="no edge",IF(H10=G10,IF(I10=H10,IF(J10=I10,(L10*K10)*(1-M10)*0.7,(L10*K10)*(1-M10)),(L10*K10)*(1-M10)),(L10*K10)*(1-M10)),(L10*K10)*(1-M10)))</f>
        <v/>
      </c>
      <c r="O10" s="149" t="str">
        <f>IF(E10="","",IF(VLOOKUP(E10,BDD!$B$8:$R$100,7,0)="yes","","*"))</f>
        <v/>
      </c>
    </row>
    <row r="11" spans="1:15" ht="20.25" customHeight="1" x14ac:dyDescent="0.25">
      <c r="A11" s="330">
        <v>2</v>
      </c>
      <c r="B11" s="552"/>
      <c r="C11" s="549"/>
      <c r="D11" s="549"/>
      <c r="E11" s="550"/>
      <c r="F11" s="548"/>
      <c r="G11" s="597"/>
      <c r="H11" s="598"/>
      <c r="I11" s="598"/>
      <c r="J11" s="599"/>
      <c r="K11" s="553" t="str">
        <f>IF(C11=0,"",IF($N$7="Inch",IF(C11*D11/144&lt;BDD!$AH$21,B11*BDD!$AH$21,B11*(C11*D11/144)),IF(C11*D11&lt;BDD!$AI$21,B11*BDD!$AH$21,B11*(C11*D11*0.00001076391))))</f>
        <v/>
      </c>
      <c r="L11" s="554" t="str">
        <f>IF(F11="","",IF($M$7="yes",1.3*( IF(F11="finger pull",VLOOKUP(E11,BDD!B:T,11,0),IF(F11="hor.sequenced",VLOOKUP(E11,BDD!B:T,10,0),IF(F11="ver.sequenced",VLOOKUP(E11,BDD!B:T,10,0),IF(F11="TWo SIDES",VLOOKUP(E11,BDD!B:T,8,0), VLOOKUP(E11,BDD!B:T,9,0)))))),(IF(F11="finger pull",VLOOKUP(E11,BDD!B:T,11,0),IF(F11="hor.sequenced",VLOOKUP(E11,BDD!B:T,10,0),IF(F11="ver.sequenced",VLOOKUP(E11,BDD!B:T,10,0),IF(F11="TWo SIDES",VLOOKUP(E11,BDD!B:T,8,0), VLOOKUP(E11,BDD!B:T,9,0))))))))</f>
        <v/>
      </c>
      <c r="M11" s="555" t="str">
        <f>IF(L11="","",IF(VLOOKUP(E11,BDD!B:T,17,0)="luxe",$N$43,$N$44))</f>
        <v/>
      </c>
      <c r="N11" s="119" t="str">
        <f t="shared" ref="N11:N39" si="0">IF(L11="","",IF(G11="no edge",IF(H11=G11,IF(I11=H11,IF(J11=I11,(L11*K11)*(1-M11)*0.7,(L11*K11)*(1-M11)),(L11*K11)*(1-M11)),(L11*K11)*(1-M11)),(L11*K11)*(1-M11)))</f>
        <v/>
      </c>
      <c r="O11" s="149" t="str">
        <f>IF(E11="","",IF(VLOOKUP(E11,BDD!$B$8:$R$100,7,0)="yes","","*"))</f>
        <v/>
      </c>
    </row>
    <row r="12" spans="1:15" ht="20.25" customHeight="1" x14ac:dyDescent="0.25">
      <c r="A12" s="330">
        <v>3</v>
      </c>
      <c r="B12" s="552"/>
      <c r="C12" s="549"/>
      <c r="D12" s="549"/>
      <c r="E12" s="550"/>
      <c r="F12" s="548"/>
      <c r="G12" s="597"/>
      <c r="H12" s="598"/>
      <c r="I12" s="598"/>
      <c r="J12" s="599"/>
      <c r="K12" s="553" t="str">
        <f>IF(C12=0,"",IF($N$7="Inch",IF(C12*D12/144&lt;BDD!$AH$21,B12*BDD!$AH$21,B12*(C12*D12/144)),IF(C12*D12&lt;BDD!$AI$21,B12*BDD!$AH$21,B12*(C12*D12*0.00001076391))))</f>
        <v/>
      </c>
      <c r="L12" s="554" t="str">
        <f>IF(F12="","",IF($M$7="yes",1.3*( IF(F12="finger pull",VLOOKUP(E12,BDD!B:T,11,0),IF(F12="hor.sequenced",VLOOKUP(E12,BDD!B:T,10,0),IF(F12="ver.sequenced",VLOOKUP(E12,BDD!B:T,10,0),IF(F12="TWo SIDES",VLOOKUP(E12,BDD!B:T,8,0), VLOOKUP(E12,BDD!B:T,9,0)))))),(IF(F12="finger pull",VLOOKUP(E12,BDD!B:T,11,0),IF(F12="hor.sequenced",VLOOKUP(E12,BDD!B:T,10,0),IF(F12="ver.sequenced",VLOOKUP(E12,BDD!B:T,10,0),IF(F12="TWo SIDES",VLOOKUP(E12,BDD!B:T,8,0), VLOOKUP(E12,BDD!B:T,9,0))))))))</f>
        <v/>
      </c>
      <c r="M12" s="555" t="str">
        <f>IF(L12="","",IF(VLOOKUP(E12,BDD!B:T,17,0)="luxe",$N$43,$N$44))</f>
        <v/>
      </c>
      <c r="N12" s="119" t="str">
        <f t="shared" si="0"/>
        <v/>
      </c>
      <c r="O12" s="149" t="str">
        <f>IF(E12="","",IF(VLOOKUP(E12,BDD!$B$8:$R$100,7,0)="yes","","*"))</f>
        <v/>
      </c>
    </row>
    <row r="13" spans="1:15" ht="20.25" customHeight="1" x14ac:dyDescent="0.25">
      <c r="A13" s="330">
        <v>4</v>
      </c>
      <c r="B13" s="552"/>
      <c r="C13" s="549"/>
      <c r="D13" s="549"/>
      <c r="E13" s="550"/>
      <c r="F13" s="548"/>
      <c r="G13" s="597"/>
      <c r="H13" s="598"/>
      <c r="I13" s="598"/>
      <c r="J13" s="599"/>
      <c r="K13" s="553" t="str">
        <f>IF(C13=0,"",IF($N$7="Inch",IF(C13*D13/144&lt;BDD!$AH$21,B13*BDD!$AH$21,B13*(C13*D13/144)),IF(C13*D13&lt;BDD!$AI$21,B13*BDD!$AH$21,B13*(C13*D13*0.00001076391))))</f>
        <v/>
      </c>
      <c r="L13" s="554" t="str">
        <f>IF(F13="","",IF($M$7="yes",1.3*( IF(F13="finger pull",VLOOKUP(E13,BDD!B:T,11,0),IF(F13="hor.sequenced",VLOOKUP(E13,BDD!B:T,10,0),IF(F13="ver.sequenced",VLOOKUP(E13,BDD!B:T,10,0),IF(F13="TWo SIDES",VLOOKUP(E13,BDD!B:T,8,0), VLOOKUP(E13,BDD!B:T,9,0)))))),(IF(F13="finger pull",VLOOKUP(E13,BDD!B:T,11,0),IF(F13="hor.sequenced",VLOOKUP(E13,BDD!B:T,10,0),IF(F13="ver.sequenced",VLOOKUP(E13,BDD!B:T,10,0),IF(F13="TWo SIDES",VLOOKUP(E13,BDD!B:T,8,0), VLOOKUP(E13,BDD!B:T,9,0))))))))</f>
        <v/>
      </c>
      <c r="M13" s="555" t="str">
        <f>IF(L13="","",IF(VLOOKUP(E13,BDD!B:T,17,0)="luxe",$N$43,$N$44))</f>
        <v/>
      </c>
      <c r="N13" s="119" t="str">
        <f t="shared" si="0"/>
        <v/>
      </c>
      <c r="O13" s="149" t="str">
        <f>IF(E13="","",IF(VLOOKUP(E13,BDD!$B$8:$R$100,7,0)="yes","","*"))</f>
        <v/>
      </c>
    </row>
    <row r="14" spans="1:15" ht="20.25" customHeight="1" x14ac:dyDescent="0.25">
      <c r="A14" s="330">
        <v>5</v>
      </c>
      <c r="B14" s="548"/>
      <c r="C14" s="549"/>
      <c r="D14" s="549"/>
      <c r="E14" s="550"/>
      <c r="F14" s="548"/>
      <c r="G14" s="597"/>
      <c r="H14" s="598"/>
      <c r="I14" s="598"/>
      <c r="J14" s="599"/>
      <c r="K14" s="553" t="str">
        <f>IF(C14=0,"",IF($N$7="Inch",IF(C14*D14/144&lt;BDD!$AH$21,B14*BDD!$AH$21,B14*(C14*D14/144)),IF(C14*D14&lt;BDD!$AI$21,B14*BDD!$AH$21,B14*(C14*D14*0.00001076391))))</f>
        <v/>
      </c>
      <c r="L14" s="554" t="str">
        <f>IF(F14="","",IF($M$7="yes",1.3*( IF(F14="finger pull",VLOOKUP(E14,BDD!B:T,11,0),IF(F14="hor.sequenced",VLOOKUP(E14,BDD!B:T,10,0),IF(F14="ver.sequenced",VLOOKUP(E14,BDD!B:T,10,0),IF(F14="TWo SIDES",VLOOKUP(E14,BDD!B:T,8,0), VLOOKUP(E14,BDD!B:T,9,0)))))),(IF(F14="finger pull",VLOOKUP(E14,BDD!B:T,11,0),IF(F14="hor.sequenced",VLOOKUP(E14,BDD!B:T,10,0),IF(F14="ver.sequenced",VLOOKUP(E14,BDD!B:T,10,0),IF(F14="TWo SIDES",VLOOKUP(E14,BDD!B:T,8,0), VLOOKUP(E14,BDD!B:T,9,0))))))))</f>
        <v/>
      </c>
      <c r="M14" s="555" t="str">
        <f>IF(L14="","",IF(VLOOKUP(E14,BDD!B:T,17,0)="luxe",$N$43,$N$44))</f>
        <v/>
      </c>
      <c r="N14" s="119" t="str">
        <f t="shared" si="0"/>
        <v/>
      </c>
      <c r="O14" s="149" t="str">
        <f>IF(E14="","",IF(VLOOKUP(E14,BDD!$B$8:$R$100,7,0)="yes","","*"))</f>
        <v/>
      </c>
    </row>
    <row r="15" spans="1:15" ht="20.25" customHeight="1" x14ac:dyDescent="0.25">
      <c r="A15" s="330">
        <v>6</v>
      </c>
      <c r="B15" s="548"/>
      <c r="C15" s="549"/>
      <c r="D15" s="549"/>
      <c r="E15" s="550"/>
      <c r="F15" s="548"/>
      <c r="G15" s="597"/>
      <c r="H15" s="598"/>
      <c r="I15" s="598"/>
      <c r="J15" s="599"/>
      <c r="K15" s="553" t="str">
        <f>IF(C15=0,"",IF($N$7="Inch",IF(C15*D15/144&lt;BDD!$AH$21,B15*BDD!$AH$21,B15*(C15*D15/144)),IF(C15*D15&lt;BDD!$AI$21,B15*BDD!$AH$21,B15*(C15*D15*0.00001076391))))</f>
        <v/>
      </c>
      <c r="L15" s="554" t="str">
        <f>IF(F15="","",IF($M$7="yes",1.3*( IF(F15="finger pull",VLOOKUP(E15,BDD!B:T,11,0),IF(F15="hor.sequenced",VLOOKUP(E15,BDD!B:T,10,0),IF(F15="ver.sequenced",VLOOKUP(E15,BDD!B:T,10,0),IF(F15="TWo SIDES",VLOOKUP(E15,BDD!B:T,8,0), VLOOKUP(E15,BDD!B:T,9,0)))))),(IF(F15="finger pull",VLOOKUP(E15,BDD!B:T,11,0),IF(F15="hor.sequenced",VLOOKUP(E15,BDD!B:T,10,0),IF(F15="ver.sequenced",VLOOKUP(E15,BDD!B:T,10,0),IF(F15="TWo SIDES",VLOOKUP(E15,BDD!B:T,8,0), VLOOKUP(E15,BDD!B:T,9,0))))))))</f>
        <v/>
      </c>
      <c r="M15" s="555" t="str">
        <f>IF(L15="","",IF(VLOOKUP(E15,BDD!B:T,17,0)="luxe",$N$43,$N$44))</f>
        <v/>
      </c>
      <c r="N15" s="119" t="str">
        <f t="shared" si="0"/>
        <v/>
      </c>
      <c r="O15" s="149" t="str">
        <f>IF(E15="","",IF(VLOOKUP(E15,BDD!$B$8:$R$100,7,0)="yes","","*"))</f>
        <v/>
      </c>
    </row>
    <row r="16" spans="1:15" ht="20.25" customHeight="1" x14ac:dyDescent="0.25">
      <c r="A16" s="330">
        <v>7</v>
      </c>
      <c r="B16" s="548"/>
      <c r="C16" s="549"/>
      <c r="D16" s="549"/>
      <c r="E16" s="550"/>
      <c r="F16" s="548"/>
      <c r="G16" s="597"/>
      <c r="H16" s="598"/>
      <c r="I16" s="598"/>
      <c r="J16" s="599"/>
      <c r="K16" s="553" t="str">
        <f>IF(C16=0,"",IF($N$7="Inch",IF(C16*D16/144&lt;BDD!$AH$21,B16*BDD!$AH$21,B16*(C16*D16/144)),IF(C16*D16&lt;BDD!$AI$21,B16*BDD!$AH$21,B16*(C16*D16*0.00001076391))))</f>
        <v/>
      </c>
      <c r="L16" s="554" t="str">
        <f>IF(F16="","",IF($M$7="yes",1.3*( IF(F16="finger pull",VLOOKUP(E16,BDD!B:T,11,0),IF(F16="hor.sequenced",VLOOKUP(E16,BDD!B:T,10,0),IF(F16="ver.sequenced",VLOOKUP(E16,BDD!B:T,10,0),IF(F16="TWo SIDES",VLOOKUP(E16,BDD!B:T,8,0), VLOOKUP(E16,BDD!B:T,9,0)))))),(IF(F16="finger pull",VLOOKUP(E16,BDD!B:T,11,0),IF(F16="hor.sequenced",VLOOKUP(E16,BDD!B:T,10,0),IF(F16="ver.sequenced",VLOOKUP(E16,BDD!B:T,10,0),IF(F16="TWo SIDES",VLOOKUP(E16,BDD!B:T,8,0), VLOOKUP(E16,BDD!B:T,9,0))))))))</f>
        <v/>
      </c>
      <c r="M16" s="555" t="str">
        <f>IF(L16="","",IF(VLOOKUP(E16,BDD!B:T,17,0)="luxe",$N$43,$N$44))</f>
        <v/>
      </c>
      <c r="N16" s="119" t="str">
        <f t="shared" si="0"/>
        <v/>
      </c>
      <c r="O16" s="149" t="str">
        <f>IF(E16="","",IF(VLOOKUP(E16,BDD!$B$8:$R$100,7,0)="yes","","*"))</f>
        <v/>
      </c>
    </row>
    <row r="17" spans="1:15" ht="20.25" customHeight="1" x14ac:dyDescent="0.25">
      <c r="A17" s="330">
        <v>8</v>
      </c>
      <c r="B17" s="548"/>
      <c r="C17" s="549"/>
      <c r="D17" s="549"/>
      <c r="E17" s="550"/>
      <c r="F17" s="548"/>
      <c r="G17" s="597"/>
      <c r="H17" s="598"/>
      <c r="I17" s="598"/>
      <c r="J17" s="599"/>
      <c r="K17" s="553" t="str">
        <f>IF(C17=0,"",IF($N$7="Inch",IF(C17*D17/144&lt;BDD!$AH$21,B17*BDD!$AH$21,B17*(C17*D17/144)),IF(C17*D17&lt;BDD!$AI$21,B17*BDD!$AH$21,B17*(C17*D17*0.00001076391))))</f>
        <v/>
      </c>
      <c r="L17" s="554" t="str">
        <f>IF(F17="","",IF($M$7="yes",1.3*( IF(F17="finger pull",VLOOKUP(E17,BDD!B:T,11,0),IF(F17="hor.sequenced",VLOOKUP(E17,BDD!B:T,10,0),IF(F17="ver.sequenced",VLOOKUP(E17,BDD!B:T,10,0),IF(F17="TWo SIDES",VLOOKUP(E17,BDD!B:T,8,0), VLOOKUP(E17,BDD!B:T,9,0)))))),(IF(F17="finger pull",VLOOKUP(E17,BDD!B:T,11,0),IF(F17="hor.sequenced",VLOOKUP(E17,BDD!B:T,10,0),IF(F17="ver.sequenced",VLOOKUP(E17,BDD!B:T,10,0),IF(F17="TWo SIDES",VLOOKUP(E17,BDD!B:T,8,0), VLOOKUP(E17,BDD!B:T,9,0))))))))</f>
        <v/>
      </c>
      <c r="M17" s="555" t="str">
        <f>IF(L17="","",IF(VLOOKUP(E17,BDD!B:T,17,0)="luxe",$N$43,$N$44))</f>
        <v/>
      </c>
      <c r="N17" s="119" t="str">
        <f t="shared" si="0"/>
        <v/>
      </c>
      <c r="O17" s="149" t="str">
        <f>IF(E17="","",IF(VLOOKUP(E17,BDD!$B$8:$R$100,7,0)="yes","","*"))</f>
        <v/>
      </c>
    </row>
    <row r="18" spans="1:15" ht="20.25" customHeight="1" x14ac:dyDescent="0.25">
      <c r="A18" s="330">
        <v>9</v>
      </c>
      <c r="B18" s="548"/>
      <c r="C18" s="549"/>
      <c r="D18" s="549"/>
      <c r="E18" s="550"/>
      <c r="F18" s="548"/>
      <c r="G18" s="597"/>
      <c r="H18" s="598"/>
      <c r="I18" s="598"/>
      <c r="J18" s="599"/>
      <c r="K18" s="553" t="str">
        <f>IF(C18=0,"",IF($N$7="Inch",IF(C18*D18/144&lt;BDD!$AH$21,B18*BDD!$AH$21,B18*(C18*D18/144)),IF(C18*D18&lt;BDD!$AI$21,B18*BDD!$AH$21,B18*(C18*D18*0.00001076391))))</f>
        <v/>
      </c>
      <c r="L18" s="554" t="str">
        <f>IF(F18="","",IF($M$7="yes",1.3*( IF(F18="finger pull",VLOOKUP(E18,BDD!B:T,11,0),IF(F18="hor.sequenced",VLOOKUP(E18,BDD!B:T,10,0),IF(F18="ver.sequenced",VLOOKUP(E18,BDD!B:T,10,0),IF(F18="TWo SIDES",VLOOKUP(E18,BDD!B:T,8,0), VLOOKUP(E18,BDD!B:T,9,0)))))),(IF(F18="finger pull",VLOOKUP(E18,BDD!B:T,11,0),IF(F18="hor.sequenced",VLOOKUP(E18,BDD!B:T,10,0),IF(F18="ver.sequenced",VLOOKUP(E18,BDD!B:T,10,0),IF(F18="TWo SIDES",VLOOKUP(E18,BDD!B:T,8,0), VLOOKUP(E18,BDD!B:T,9,0))))))))</f>
        <v/>
      </c>
      <c r="M18" s="555" t="str">
        <f>IF(L18="","",IF(VLOOKUP(E18,BDD!B:T,17,0)="luxe",$N$43,$N$44))</f>
        <v/>
      </c>
      <c r="N18" s="119" t="str">
        <f t="shared" si="0"/>
        <v/>
      </c>
      <c r="O18" s="149" t="str">
        <f>IF(E18="","",IF(VLOOKUP(E18,BDD!$B$8:$R$100,7,0)="yes","","*"))</f>
        <v/>
      </c>
    </row>
    <row r="19" spans="1:15" ht="20.25" customHeight="1" x14ac:dyDescent="0.25">
      <c r="A19" s="330">
        <v>10</v>
      </c>
      <c r="B19" s="548"/>
      <c r="C19" s="549"/>
      <c r="D19" s="549"/>
      <c r="E19" s="550"/>
      <c r="F19" s="548"/>
      <c r="G19" s="597"/>
      <c r="H19" s="598"/>
      <c r="I19" s="598"/>
      <c r="J19" s="599"/>
      <c r="K19" s="553" t="str">
        <f>IF(C19=0,"",IF($N$7="Inch",IF(C19*D19/144&lt;BDD!$AH$21,B19*BDD!$AH$21,B19*(C19*D19/144)),IF(C19*D19&lt;BDD!$AI$21,B19*BDD!$AH$21,B19*(C19*D19*0.00001076391))))</f>
        <v/>
      </c>
      <c r="L19" s="554" t="str">
        <f>IF(F19="","",IF($M$7="yes",1.3*( IF(F19="finger pull",VLOOKUP(E19,BDD!B:T,11,0),IF(F19="hor.sequenced",VLOOKUP(E19,BDD!B:T,10,0),IF(F19="ver.sequenced",VLOOKUP(E19,BDD!B:T,10,0),IF(F19="TWo SIDES",VLOOKUP(E19,BDD!B:T,8,0), VLOOKUP(E19,BDD!B:T,9,0)))))),(IF(F19="finger pull",VLOOKUP(E19,BDD!B:T,11,0),IF(F19="hor.sequenced",VLOOKUP(E19,BDD!B:T,10,0),IF(F19="ver.sequenced",VLOOKUP(E19,BDD!B:T,10,0),IF(F19="TWo SIDES",VLOOKUP(E19,BDD!B:T,8,0), VLOOKUP(E19,BDD!B:T,9,0))))))))</f>
        <v/>
      </c>
      <c r="M19" s="555" t="str">
        <f>IF(L19="","",IF(VLOOKUP(E19,BDD!B:T,17,0)="luxe",$N$43,$N$44))</f>
        <v/>
      </c>
      <c r="N19" s="119" t="str">
        <f t="shared" si="0"/>
        <v/>
      </c>
      <c r="O19" s="149" t="str">
        <f>IF(E19="","",IF(VLOOKUP(E19,BDD!$B$8:$R$100,7,0)="yes","","*"))</f>
        <v/>
      </c>
    </row>
    <row r="20" spans="1:15" ht="20.25" customHeight="1" x14ac:dyDescent="0.25">
      <c r="A20" s="330">
        <v>11</v>
      </c>
      <c r="B20" s="548"/>
      <c r="C20" s="549"/>
      <c r="D20" s="549"/>
      <c r="E20" s="550"/>
      <c r="F20" s="548"/>
      <c r="G20" s="597"/>
      <c r="H20" s="598"/>
      <c r="I20" s="598"/>
      <c r="J20" s="599"/>
      <c r="K20" s="553" t="str">
        <f>IF(C20=0,"",IF($N$7="Inch",IF(C20*D20/144&lt;BDD!$AH$21,B20*BDD!$AH$21,B20*(C20*D20/144)),IF(C20*D20&lt;BDD!$AI$21,B20*BDD!$AH$21,B20*(C20*D20*0.00001076391))))</f>
        <v/>
      </c>
      <c r="L20" s="554" t="str">
        <f>IF(F20="","",IF($M$7="yes",1.3*( IF(F20="finger pull",VLOOKUP(E20,BDD!B:T,11,0),IF(F20="hor.sequenced",VLOOKUP(E20,BDD!B:T,10,0),IF(F20="ver.sequenced",VLOOKUP(E20,BDD!B:T,10,0),IF(F20="TWo SIDES",VLOOKUP(E20,BDD!B:T,8,0), VLOOKUP(E20,BDD!B:T,9,0)))))),(IF(F20="finger pull",VLOOKUP(E20,BDD!B:T,11,0),IF(F20="hor.sequenced",VLOOKUP(E20,BDD!B:T,10,0),IF(F20="ver.sequenced",VLOOKUP(E20,BDD!B:T,10,0),IF(F20="TWo SIDES",VLOOKUP(E20,BDD!B:T,8,0), VLOOKUP(E20,BDD!B:T,9,0))))))))</f>
        <v/>
      </c>
      <c r="M20" s="555" t="str">
        <f>IF(L20="","",IF(VLOOKUP(E20,BDD!B:T,17,0)="luxe",$N$43,$N$44))</f>
        <v/>
      </c>
      <c r="N20" s="119" t="str">
        <f t="shared" si="0"/>
        <v/>
      </c>
      <c r="O20" s="149" t="str">
        <f>IF(E20="","",IF(VLOOKUP(E20,BDD!$B$8:$R$100,7,0)="yes","","*"))</f>
        <v/>
      </c>
    </row>
    <row r="21" spans="1:15" ht="20.25" customHeight="1" x14ac:dyDescent="0.25">
      <c r="A21" s="330">
        <v>12</v>
      </c>
      <c r="B21" s="548"/>
      <c r="C21" s="549"/>
      <c r="D21" s="549"/>
      <c r="E21" s="550"/>
      <c r="F21" s="548"/>
      <c r="G21" s="597"/>
      <c r="H21" s="598"/>
      <c r="I21" s="598"/>
      <c r="J21" s="599"/>
      <c r="K21" s="553" t="str">
        <f>IF(C21=0,"",IF($N$7="Inch",IF(C21*D21/144&lt;BDD!$AH$21,B21*BDD!$AH$21,B21*(C21*D21/144)),IF(C21*D21&lt;BDD!$AI$21,B21*BDD!$AH$21,B21*(C21*D21*0.00001076391))))</f>
        <v/>
      </c>
      <c r="L21" s="554" t="str">
        <f>IF(F21="","",IF($M$7="yes",1.3*( IF(F21="finger pull",VLOOKUP(E21,BDD!B:T,11,0),IF(F21="hor.sequenced",VLOOKUP(E21,BDD!B:T,10,0),IF(F21="ver.sequenced",VLOOKUP(E21,BDD!B:T,10,0),IF(F21="TWo SIDES",VLOOKUP(E21,BDD!B:T,8,0), VLOOKUP(E21,BDD!B:T,9,0)))))),(IF(F21="finger pull",VLOOKUP(E21,BDD!B:T,11,0),IF(F21="hor.sequenced",VLOOKUP(E21,BDD!B:T,10,0),IF(F21="ver.sequenced",VLOOKUP(E21,BDD!B:T,10,0),IF(F21="TWo SIDES",VLOOKUP(E21,BDD!B:T,8,0), VLOOKUP(E21,BDD!B:T,9,0))))))))</f>
        <v/>
      </c>
      <c r="M21" s="555" t="str">
        <f>IF(L21="","",IF(VLOOKUP(E21,BDD!B:T,17,0)="luxe",$N$43,$N$44))</f>
        <v/>
      </c>
      <c r="N21" s="119" t="str">
        <f t="shared" si="0"/>
        <v/>
      </c>
      <c r="O21" s="149" t="str">
        <f>IF(E21="","",IF(VLOOKUP(E21,BDD!$B$8:$R$100,7,0)="yes","","*"))</f>
        <v/>
      </c>
    </row>
    <row r="22" spans="1:15" ht="20.25" customHeight="1" x14ac:dyDescent="0.25">
      <c r="A22" s="330">
        <v>13</v>
      </c>
      <c r="B22" s="548"/>
      <c r="C22" s="549"/>
      <c r="D22" s="549"/>
      <c r="E22" s="550"/>
      <c r="F22" s="548"/>
      <c r="G22" s="597"/>
      <c r="H22" s="598"/>
      <c r="I22" s="598"/>
      <c r="J22" s="599"/>
      <c r="K22" s="553" t="str">
        <f>IF(C22=0,"",IF($N$7="Inch",IF(C22*D22/144&lt;BDD!$AH$21,B22*BDD!$AH$21,B22*(C22*D22/144)),IF(C22*D22&lt;BDD!$AI$21,B22*BDD!$AH$21,B22*(C22*D22*0.00001076391))))</f>
        <v/>
      </c>
      <c r="L22" s="554" t="str">
        <f>IF(F22="","",IF($M$7="yes",1.3*( IF(F22="finger pull",VLOOKUP(E22,BDD!B:T,11,0),IF(F22="hor.sequenced",VLOOKUP(E22,BDD!B:T,10,0),IF(F22="ver.sequenced",VLOOKUP(E22,BDD!B:T,10,0),IF(F22="TWo SIDES",VLOOKUP(E22,BDD!B:T,8,0), VLOOKUP(E22,BDD!B:T,9,0)))))),(IF(F22="finger pull",VLOOKUP(E22,BDD!B:T,11,0),IF(F22="hor.sequenced",VLOOKUP(E22,BDD!B:T,10,0),IF(F22="ver.sequenced",VLOOKUP(E22,BDD!B:T,10,0),IF(F22="TWo SIDES",VLOOKUP(E22,BDD!B:T,8,0), VLOOKUP(E22,BDD!B:T,9,0))))))))</f>
        <v/>
      </c>
      <c r="M22" s="555" t="str">
        <f>IF(L22="","",IF(VLOOKUP(E22,BDD!B:T,17,0)="luxe",$N$43,$N$44))</f>
        <v/>
      </c>
      <c r="N22" s="119" t="str">
        <f t="shared" si="0"/>
        <v/>
      </c>
      <c r="O22" s="149" t="str">
        <f>IF(E22="","",IF(VLOOKUP(E22,BDD!$B$8:$R$100,7,0)="yes","","*"))</f>
        <v/>
      </c>
    </row>
    <row r="23" spans="1:15" ht="20.25" customHeight="1" x14ac:dyDescent="0.25">
      <c r="A23" s="330">
        <v>14</v>
      </c>
      <c r="B23" s="548"/>
      <c r="C23" s="549"/>
      <c r="D23" s="549"/>
      <c r="E23" s="550"/>
      <c r="F23" s="548"/>
      <c r="G23" s="597"/>
      <c r="H23" s="598"/>
      <c r="I23" s="598"/>
      <c r="J23" s="599"/>
      <c r="K23" s="553" t="str">
        <f>IF(C23=0,"",IF($N$7="Inch",IF(C23*D23/144&lt;BDD!$AH$21,B23*BDD!$AH$21,B23*(C23*D23/144)),IF(C23*D23&lt;BDD!$AI$21,B23*BDD!$AH$21,B23*(C23*D23*0.00001076391))))</f>
        <v/>
      </c>
      <c r="L23" s="554" t="str">
        <f>IF(F23="","",IF($M$7="yes",1.3*( IF(F23="finger pull",VLOOKUP(E23,BDD!B:T,11,0),IF(F23="hor.sequenced",VLOOKUP(E23,BDD!B:T,10,0),IF(F23="ver.sequenced",VLOOKUP(E23,BDD!B:T,10,0),IF(F23="TWo SIDES",VLOOKUP(E23,BDD!B:T,8,0), VLOOKUP(E23,BDD!B:T,9,0)))))),(IF(F23="finger pull",VLOOKUP(E23,BDD!B:T,11,0),IF(F23="hor.sequenced",VLOOKUP(E23,BDD!B:T,10,0),IF(F23="ver.sequenced",VLOOKUP(E23,BDD!B:T,10,0),IF(F23="TWo SIDES",VLOOKUP(E23,BDD!B:T,8,0), VLOOKUP(E23,BDD!B:T,9,0))))))))</f>
        <v/>
      </c>
      <c r="M23" s="555" t="str">
        <f>IF(L23="","",IF(VLOOKUP(E23,BDD!B:T,17,0)="luxe",$N$43,$N$44))</f>
        <v/>
      </c>
      <c r="N23" s="119" t="str">
        <f t="shared" si="0"/>
        <v/>
      </c>
      <c r="O23" s="149" t="str">
        <f>IF(E23="","",IF(VLOOKUP(E23,BDD!$B$8:$R$100,7,0)="yes","","*"))</f>
        <v/>
      </c>
    </row>
    <row r="24" spans="1:15" ht="20.25" customHeight="1" x14ac:dyDescent="0.25">
      <c r="A24" s="330">
        <v>15</v>
      </c>
      <c r="B24" s="548"/>
      <c r="C24" s="549"/>
      <c r="D24" s="549"/>
      <c r="E24" s="550"/>
      <c r="F24" s="548"/>
      <c r="G24" s="597"/>
      <c r="H24" s="598"/>
      <c r="I24" s="598"/>
      <c r="J24" s="599"/>
      <c r="K24" s="553" t="str">
        <f>IF(C24=0,"",IF($N$7="Inch",IF(C24*D24/144&lt;BDD!$AH$21,B24*BDD!$AH$21,B24*(C24*D24/144)),IF(C24*D24&lt;BDD!$AI$21,B24*BDD!$AH$21,B24*(C24*D24*0.00001076391))))</f>
        <v/>
      </c>
      <c r="L24" s="554" t="str">
        <f>IF(F24="","",IF($M$7="yes",1.3*( IF(F24="finger pull",VLOOKUP(E24,BDD!B:T,11,0),IF(F24="hor.sequenced",VLOOKUP(E24,BDD!B:T,10,0),IF(F24="ver.sequenced",VLOOKUP(E24,BDD!B:T,10,0),IF(F24="TWo SIDES",VLOOKUP(E24,BDD!B:T,8,0), VLOOKUP(E24,BDD!B:T,9,0)))))),(IF(F24="finger pull",VLOOKUP(E24,BDD!B:T,11,0),IF(F24="hor.sequenced",VLOOKUP(E24,BDD!B:T,10,0),IF(F24="ver.sequenced",VLOOKUP(E24,BDD!B:T,10,0),IF(F24="TWo SIDES",VLOOKUP(E24,BDD!B:T,8,0), VLOOKUP(E24,BDD!B:T,9,0))))))))</f>
        <v/>
      </c>
      <c r="M24" s="555" t="str">
        <f>IF(L24="","",IF(VLOOKUP(E24,BDD!B:T,17,0)="luxe",$N$43,$N$44))</f>
        <v/>
      </c>
      <c r="N24" s="119" t="str">
        <f t="shared" si="0"/>
        <v/>
      </c>
      <c r="O24" s="149" t="str">
        <f>IF(E24="","",IF(VLOOKUP(E24,BDD!$B$8:$R$100,7,0)="yes","","*"))</f>
        <v/>
      </c>
    </row>
    <row r="25" spans="1:15" ht="20.25" customHeight="1" x14ac:dyDescent="0.25">
      <c r="A25" s="330">
        <v>16</v>
      </c>
      <c r="B25" s="548"/>
      <c r="C25" s="549"/>
      <c r="D25" s="549"/>
      <c r="E25" s="550"/>
      <c r="F25" s="548"/>
      <c r="G25" s="597"/>
      <c r="H25" s="598"/>
      <c r="I25" s="598"/>
      <c r="J25" s="599"/>
      <c r="K25" s="553" t="str">
        <f>IF(C25=0,"",IF($N$7="Inch",IF(C25*D25/144&lt;BDD!$AH$21,B25*BDD!$AH$21,B25*(C25*D25/144)),IF(C25*D25&lt;BDD!$AI$21,B25*BDD!$AH$21,B25*(C25*D25*0.00001076391))))</f>
        <v/>
      </c>
      <c r="L25" s="554" t="str">
        <f>IF(F25="","",IF($M$7="yes",1.3*( IF(F25="finger pull",VLOOKUP(E25,BDD!B:T,11,0),IF(F25="hor.sequenced",VLOOKUP(E25,BDD!B:T,10,0),IF(F25="ver.sequenced",VLOOKUP(E25,BDD!B:T,10,0),IF(F25="TWo SIDES",VLOOKUP(E25,BDD!B:T,8,0), VLOOKUP(E25,BDD!B:T,9,0)))))),(IF(F25="finger pull",VLOOKUP(E25,BDD!B:T,11,0),IF(F25="hor.sequenced",VLOOKUP(E25,BDD!B:T,10,0),IF(F25="ver.sequenced",VLOOKUP(E25,BDD!B:T,10,0),IF(F25="TWo SIDES",VLOOKUP(E25,BDD!B:T,8,0), VLOOKUP(E25,BDD!B:T,9,0))))))))</f>
        <v/>
      </c>
      <c r="M25" s="555" t="str">
        <f>IF(L25="","",IF(VLOOKUP(E25,BDD!B:T,17,0)="luxe",$N$43,$N$44))</f>
        <v/>
      </c>
      <c r="N25" s="119" t="str">
        <f t="shared" si="0"/>
        <v/>
      </c>
      <c r="O25" s="149" t="str">
        <f>IF(E25="","",IF(VLOOKUP(E25,BDD!$B$8:$R$100,7,0)="yes","","*"))</f>
        <v/>
      </c>
    </row>
    <row r="26" spans="1:15" ht="20.25" customHeight="1" x14ac:dyDescent="0.25">
      <c r="A26" s="330">
        <v>17</v>
      </c>
      <c r="B26" s="548"/>
      <c r="C26" s="549"/>
      <c r="D26" s="551"/>
      <c r="E26" s="550"/>
      <c r="F26" s="548"/>
      <c r="G26" s="597"/>
      <c r="H26" s="598"/>
      <c r="I26" s="598"/>
      <c r="J26" s="599"/>
      <c r="K26" s="553" t="str">
        <f>IF(C26=0,"",IF($N$7="Inch",IF(C26*D26/144&lt;BDD!$AH$21,B26*BDD!$AH$21,B26*(C26*D26/144)),IF(C26*D26&lt;BDD!$AI$21,B26*BDD!$AH$21,B26*(C26*D26*0.00001076391))))</f>
        <v/>
      </c>
      <c r="L26" s="554" t="str">
        <f>IF(F26="","",IF($M$7="yes",1.3*( IF(F26="finger pull",VLOOKUP(E26,BDD!B:T,11,0),IF(F26="hor.sequenced",VLOOKUP(E26,BDD!B:T,10,0),IF(F26="ver.sequenced",VLOOKUP(E26,BDD!B:T,10,0),IF(F26="TWo SIDES",VLOOKUP(E26,BDD!B:T,8,0), VLOOKUP(E26,BDD!B:T,9,0)))))),(IF(F26="finger pull",VLOOKUP(E26,BDD!B:T,11,0),IF(F26="hor.sequenced",VLOOKUP(E26,BDD!B:T,10,0),IF(F26="ver.sequenced",VLOOKUP(E26,BDD!B:T,10,0),IF(F26="TWo SIDES",VLOOKUP(E26,BDD!B:T,8,0), VLOOKUP(E26,BDD!B:T,9,0))))))))</f>
        <v/>
      </c>
      <c r="M26" s="555" t="str">
        <f>IF(L26="","",IF(VLOOKUP(E26,BDD!B:T,17,0)="luxe",$N$43,$N$44))</f>
        <v/>
      </c>
      <c r="N26" s="119" t="str">
        <f t="shared" si="0"/>
        <v/>
      </c>
      <c r="O26" s="149" t="str">
        <f>IF(E26="","",IF(VLOOKUP(E26,BDD!$B$8:$R$100,7,0)="yes","","*"))</f>
        <v/>
      </c>
    </row>
    <row r="27" spans="1:15" ht="20.25" customHeight="1" x14ac:dyDescent="0.25">
      <c r="A27" s="330">
        <v>18</v>
      </c>
      <c r="B27" s="548"/>
      <c r="C27" s="549"/>
      <c r="D27" s="549"/>
      <c r="E27" s="550"/>
      <c r="F27" s="548"/>
      <c r="G27" s="597"/>
      <c r="H27" s="598"/>
      <c r="I27" s="598"/>
      <c r="J27" s="599"/>
      <c r="K27" s="553" t="str">
        <f>IF(C27=0,"",IF($N$7="Inch",IF(C27*D27/144&lt;BDD!$AH$21,B27*BDD!$AH$21,B27*(C27*D27/144)),IF(C27*D27&lt;BDD!$AI$21,B27*BDD!$AH$21,B27*(C27*D27*0.00001076391))))</f>
        <v/>
      </c>
      <c r="L27" s="554" t="str">
        <f>IF(F27="","",IF($M$7="yes",1.3*( IF(F27="finger pull",VLOOKUP(E27,BDD!B:T,11,0),IF(F27="hor.sequenced",VLOOKUP(E27,BDD!B:T,10,0),IF(F27="ver.sequenced",VLOOKUP(E27,BDD!B:T,10,0),IF(F27="TWo SIDES",VLOOKUP(E27,BDD!B:T,8,0), VLOOKUP(E27,BDD!B:T,9,0)))))),(IF(F27="finger pull",VLOOKUP(E27,BDD!B:T,11,0),IF(F27="hor.sequenced",VLOOKUP(E27,BDD!B:T,10,0),IF(F27="ver.sequenced",VLOOKUP(E27,BDD!B:T,10,0),IF(F27="TWo SIDES",VLOOKUP(E27,BDD!B:T,8,0), VLOOKUP(E27,BDD!B:T,9,0))))))))</f>
        <v/>
      </c>
      <c r="M27" s="555" t="str">
        <f>IF(L27="","",IF(VLOOKUP(E27,BDD!B:T,17,0)="luxe",$N$43,$N$44))</f>
        <v/>
      </c>
      <c r="N27" s="119" t="str">
        <f t="shared" si="0"/>
        <v/>
      </c>
      <c r="O27" s="149" t="str">
        <f>IF(E27="","",IF(VLOOKUP(E27,BDD!$B$8:$R$100,7,0)="yes","","*"))</f>
        <v/>
      </c>
    </row>
    <row r="28" spans="1:15" ht="20.25" customHeight="1" x14ac:dyDescent="0.25">
      <c r="A28" s="330">
        <v>19</v>
      </c>
      <c r="B28" s="548"/>
      <c r="C28" s="549"/>
      <c r="D28" s="549"/>
      <c r="E28" s="550"/>
      <c r="F28" s="548"/>
      <c r="G28" s="597"/>
      <c r="H28" s="598"/>
      <c r="I28" s="598"/>
      <c r="J28" s="599"/>
      <c r="K28" s="553" t="str">
        <f>IF(C28=0,"",IF($N$7="Inch",IF(C28*D28/144&lt;BDD!$AH$21,B28*BDD!$AH$21,B28*(C28*D28/144)),IF(C28*D28&lt;BDD!$AI$21,B28*BDD!$AH$21,B28*(C28*D28*0.00001076391))))</f>
        <v/>
      </c>
      <c r="L28" s="554" t="str">
        <f>IF(F28="","",IF($M$7="yes",1.3*( IF(F28="finger pull",VLOOKUP(E28,BDD!B:T,11,0),IF(F28="hor.sequenced",VLOOKUP(E28,BDD!B:T,10,0),IF(F28="ver.sequenced",VLOOKUP(E28,BDD!B:T,10,0),IF(F28="TWo SIDES",VLOOKUP(E28,BDD!B:T,8,0), VLOOKUP(E28,BDD!B:T,9,0)))))),(IF(F28="finger pull",VLOOKUP(E28,BDD!B:T,11,0),IF(F28="hor.sequenced",VLOOKUP(E28,BDD!B:T,10,0),IF(F28="ver.sequenced",VLOOKUP(E28,BDD!B:T,10,0),IF(F28="TWo SIDES",VLOOKUP(E28,BDD!B:T,8,0), VLOOKUP(E28,BDD!B:T,9,0))))))))</f>
        <v/>
      </c>
      <c r="M28" s="555" t="str">
        <f>IF(L28="","",IF(VLOOKUP(E28,BDD!B:T,17,0)="luxe",$N$43,$N$44))</f>
        <v/>
      </c>
      <c r="N28" s="119" t="str">
        <f t="shared" si="0"/>
        <v/>
      </c>
      <c r="O28" s="149" t="str">
        <f>IF(E28="","",IF(VLOOKUP(E28,BDD!$B$8:$R$100,7,0)="yes","","*"))</f>
        <v/>
      </c>
    </row>
    <row r="29" spans="1:15" ht="20.25" customHeight="1" x14ac:dyDescent="0.25">
      <c r="A29" s="330">
        <v>20</v>
      </c>
      <c r="B29" s="548"/>
      <c r="C29" s="549"/>
      <c r="D29" s="549"/>
      <c r="E29" s="550"/>
      <c r="F29" s="548"/>
      <c r="G29" s="597"/>
      <c r="H29" s="598"/>
      <c r="I29" s="598"/>
      <c r="J29" s="599"/>
      <c r="K29" s="553" t="str">
        <f>IF(C29=0,"",IF($N$7="Inch",IF(C29*D29/144&lt;BDD!$AH$21,B29*BDD!$AH$21,B29*(C29*D29/144)),IF(C29*D29&lt;BDD!$AI$21,B29*BDD!$AH$21,B29*(C29*D29*0.00001076391))))</f>
        <v/>
      </c>
      <c r="L29" s="554" t="str">
        <f>IF(F29="","",IF($M$7="yes",1.3*( IF(F29="finger pull",VLOOKUP(E29,BDD!B:T,11,0),IF(F29="hor.sequenced",VLOOKUP(E29,BDD!B:T,10,0),IF(F29="ver.sequenced",VLOOKUP(E29,BDD!B:T,10,0),IF(F29="TWo SIDES",VLOOKUP(E29,BDD!B:T,8,0), VLOOKUP(E29,BDD!B:T,9,0)))))),(IF(F29="finger pull",VLOOKUP(E29,BDD!B:T,11,0),IF(F29="hor.sequenced",VLOOKUP(E29,BDD!B:T,10,0),IF(F29="ver.sequenced",VLOOKUP(E29,BDD!B:T,10,0),IF(F29="TWo SIDES",VLOOKUP(E29,BDD!B:T,8,0), VLOOKUP(E29,BDD!B:T,9,0))))))))</f>
        <v/>
      </c>
      <c r="M29" s="555" t="str">
        <f>IF(L29="","",IF(VLOOKUP(E29,BDD!B:T,17,0)="luxe",$N$43,$N$44))</f>
        <v/>
      </c>
      <c r="N29" s="119" t="str">
        <f t="shared" si="0"/>
        <v/>
      </c>
      <c r="O29" s="149" t="str">
        <f>IF(E29="","",IF(VLOOKUP(E29,BDD!$B$8:$R$100,7,0)="yes","","*"))</f>
        <v/>
      </c>
    </row>
    <row r="30" spans="1:15" ht="20.25" customHeight="1" x14ac:dyDescent="0.25">
      <c r="A30" s="330">
        <v>21</v>
      </c>
      <c r="B30" s="548"/>
      <c r="C30" s="549"/>
      <c r="D30" s="549"/>
      <c r="E30" s="550"/>
      <c r="F30" s="548"/>
      <c r="G30" s="597"/>
      <c r="H30" s="598"/>
      <c r="I30" s="598"/>
      <c r="J30" s="599"/>
      <c r="K30" s="553" t="str">
        <f>IF(C30=0,"",IF($N$7="Inch",IF(C30*D30/144&lt;BDD!$AH$21,B30*BDD!$AH$21,B30*(C30*D30/144)),IF(C30*D30&lt;BDD!$AI$21,B30*BDD!$AH$21,B30*(C30*D30*0.00001076391))))</f>
        <v/>
      </c>
      <c r="L30" s="554" t="str">
        <f>IF(F30="","",IF($M$7="yes",1.3*( IF(F30="finger pull",VLOOKUP(E30,BDD!B:T,11,0),IF(F30="hor.sequenced",VLOOKUP(E30,BDD!B:T,10,0),IF(F30="ver.sequenced",VLOOKUP(E30,BDD!B:T,10,0),IF(F30="TWo SIDES",VLOOKUP(E30,BDD!B:T,8,0), VLOOKUP(E30,BDD!B:T,9,0)))))),(IF(F30="finger pull",VLOOKUP(E30,BDD!B:T,11,0),IF(F30="hor.sequenced",VLOOKUP(E30,BDD!B:T,10,0),IF(F30="ver.sequenced",VLOOKUP(E30,BDD!B:T,10,0),IF(F30="TWo SIDES",VLOOKUP(E30,BDD!B:T,8,0), VLOOKUP(E30,BDD!B:T,9,0))))))))</f>
        <v/>
      </c>
      <c r="M30" s="555" t="str">
        <f>IF(L30="","",IF(VLOOKUP(E30,BDD!B:T,17,0)="luxe",$N$43,$N$44))</f>
        <v/>
      </c>
      <c r="N30" s="119" t="str">
        <f t="shared" si="0"/>
        <v/>
      </c>
      <c r="O30" s="149" t="str">
        <f>IF(E30="","",IF(VLOOKUP(E30,BDD!$B$8:$R$100,7,0)="yes","","*"))</f>
        <v/>
      </c>
    </row>
    <row r="31" spans="1:15" ht="20.25" customHeight="1" x14ac:dyDescent="0.25">
      <c r="A31" s="330">
        <v>22</v>
      </c>
      <c r="B31" s="548"/>
      <c r="C31" s="549"/>
      <c r="D31" s="549"/>
      <c r="E31" s="550"/>
      <c r="F31" s="548"/>
      <c r="G31" s="597"/>
      <c r="H31" s="598"/>
      <c r="I31" s="598"/>
      <c r="J31" s="599"/>
      <c r="K31" s="553" t="str">
        <f>IF(C31=0,"",IF($N$7="Inch",IF(C31*D31/144&lt;BDD!$AH$21,B31*BDD!$AH$21,B31*(C31*D31/144)),IF(C31*D31&lt;BDD!$AI$21,B31*BDD!$AH$21,B31*(C31*D31*0.00001076391))))</f>
        <v/>
      </c>
      <c r="L31" s="554" t="str">
        <f>IF(F31="","",IF($M$7="yes",1.3*( IF(F31="finger pull",VLOOKUP(E31,BDD!B:T,11,0),IF(F31="hor.sequenced",VLOOKUP(E31,BDD!B:T,10,0),IF(F31="ver.sequenced",VLOOKUP(E31,BDD!B:T,10,0),IF(F31="TWo SIDES",VLOOKUP(E31,BDD!B:T,8,0), VLOOKUP(E31,BDD!B:T,9,0)))))),(IF(F31="finger pull",VLOOKUP(E31,BDD!B:T,11,0),IF(F31="hor.sequenced",VLOOKUP(E31,BDD!B:T,10,0),IF(F31="ver.sequenced",VLOOKUP(E31,BDD!B:T,10,0),IF(F31="TWo SIDES",VLOOKUP(E31,BDD!B:T,8,0), VLOOKUP(E31,BDD!B:T,9,0))))))))</f>
        <v/>
      </c>
      <c r="M31" s="555" t="str">
        <f>IF(L31="","",IF(VLOOKUP(E31,BDD!B:T,17,0)="luxe",$N$43,$N$44))</f>
        <v/>
      </c>
      <c r="N31" s="119" t="str">
        <f t="shared" si="0"/>
        <v/>
      </c>
      <c r="O31" s="149" t="str">
        <f>IF(E31="","",IF(VLOOKUP(E31,BDD!$B$8:$R$100,7,0)="yes","","*"))</f>
        <v/>
      </c>
    </row>
    <row r="32" spans="1:15" ht="20.25" customHeight="1" x14ac:dyDescent="0.25">
      <c r="A32" s="330">
        <v>23</v>
      </c>
      <c r="B32" s="548"/>
      <c r="C32" s="549"/>
      <c r="D32" s="549"/>
      <c r="E32" s="550"/>
      <c r="F32" s="548"/>
      <c r="G32" s="597"/>
      <c r="H32" s="598"/>
      <c r="I32" s="598"/>
      <c r="J32" s="599"/>
      <c r="K32" s="553" t="str">
        <f>IF(C32=0,"",IF($N$7="Inch",IF(C32*D32/144&lt;BDD!$AH$21,B32*BDD!$AH$21,B32*(C32*D32/144)),IF(C32*D32&lt;BDD!$AI$21,B32*BDD!$AH$21,B32*(C32*D32*0.00001076391))))</f>
        <v/>
      </c>
      <c r="L32" s="554" t="str">
        <f>IF(F32="","",IF($M$7="yes",1.3*( IF(F32="finger pull",VLOOKUP(E32,BDD!B:T,11,0),IF(F32="hor.sequenced",VLOOKUP(E32,BDD!B:T,10,0),IF(F32="ver.sequenced",VLOOKUP(E32,BDD!B:T,10,0),IF(F32="TWo SIDES",VLOOKUP(E32,BDD!B:T,8,0), VLOOKUP(E32,BDD!B:T,9,0)))))),(IF(F32="finger pull",VLOOKUP(E32,BDD!B:T,11,0),IF(F32="hor.sequenced",VLOOKUP(E32,BDD!B:T,10,0),IF(F32="ver.sequenced",VLOOKUP(E32,BDD!B:T,10,0),IF(F32="TWo SIDES",VLOOKUP(E32,BDD!B:T,8,0), VLOOKUP(E32,BDD!B:T,9,0))))))))</f>
        <v/>
      </c>
      <c r="M32" s="555" t="str">
        <f>IF(L32="","",IF(VLOOKUP(E32,BDD!B:T,17,0)="luxe",$N$43,$N$44))</f>
        <v/>
      </c>
      <c r="N32" s="119" t="str">
        <f t="shared" si="0"/>
        <v/>
      </c>
      <c r="O32" s="149" t="str">
        <f>IF(E32="","",IF(VLOOKUP(E32,BDD!$B$8:$R$100,7,0)="yes","","*"))</f>
        <v/>
      </c>
    </row>
    <row r="33" spans="1:15" ht="20.25" customHeight="1" x14ac:dyDescent="0.25">
      <c r="A33" s="330">
        <v>24</v>
      </c>
      <c r="B33" s="548"/>
      <c r="C33" s="549"/>
      <c r="D33" s="549"/>
      <c r="E33" s="550"/>
      <c r="F33" s="548"/>
      <c r="G33" s="597"/>
      <c r="H33" s="598"/>
      <c r="I33" s="598"/>
      <c r="J33" s="599"/>
      <c r="K33" s="553" t="str">
        <f>IF(C33=0,"",IF($N$7="Inch",IF(C33*D33/144&lt;BDD!$AH$21,B33*BDD!$AH$21,B33*(C33*D33/144)),IF(C33*D33&lt;BDD!$AI$21,B33*BDD!$AH$21,B33*(C33*D33*0.00001076391))))</f>
        <v/>
      </c>
      <c r="L33" s="554" t="str">
        <f>IF(F33="","",IF($M$7="yes",1.3*( IF(F33="finger pull",VLOOKUP(E33,BDD!B:T,11,0),IF(F33="hor.sequenced",VLOOKUP(E33,BDD!B:T,10,0),IF(F33="ver.sequenced",VLOOKUP(E33,BDD!B:T,10,0),IF(F33="TWo SIDES",VLOOKUP(E33,BDD!B:T,8,0), VLOOKUP(E33,BDD!B:T,9,0)))))),(IF(F33="finger pull",VLOOKUP(E33,BDD!B:T,11,0),IF(F33="hor.sequenced",VLOOKUP(E33,BDD!B:T,10,0),IF(F33="ver.sequenced",VLOOKUP(E33,BDD!B:T,10,0),IF(F33="TWo SIDES",VLOOKUP(E33,BDD!B:T,8,0), VLOOKUP(E33,BDD!B:T,9,0))))))))</f>
        <v/>
      </c>
      <c r="M33" s="555" t="str">
        <f>IF(L33="","",IF(VLOOKUP(E33,BDD!B:T,17,0)="luxe",$N$43,$N$44))</f>
        <v/>
      </c>
      <c r="N33" s="119" t="str">
        <f t="shared" si="0"/>
        <v/>
      </c>
      <c r="O33" s="149" t="str">
        <f>IF(E33="","",IF(VLOOKUP(E33,BDD!$B$8:$R$100,7,0)="yes","","*"))</f>
        <v/>
      </c>
    </row>
    <row r="34" spans="1:15" ht="20.25" customHeight="1" x14ac:dyDescent="0.25">
      <c r="A34" s="330">
        <v>25</v>
      </c>
      <c r="B34" s="548"/>
      <c r="C34" s="549"/>
      <c r="D34" s="549"/>
      <c r="E34" s="550"/>
      <c r="F34" s="548"/>
      <c r="G34" s="597"/>
      <c r="H34" s="598"/>
      <c r="I34" s="598"/>
      <c r="J34" s="599"/>
      <c r="K34" s="553" t="str">
        <f>IF(C34=0,"",IF($N$7="Inch",IF(C34*D34/144&lt;BDD!$AH$21,B34*BDD!$AH$21,B34*(C34*D34/144)),IF(C34*D34&lt;BDD!$AI$21,B34*BDD!$AH$21,B34*(C34*D34*0.00001076391))))</f>
        <v/>
      </c>
      <c r="L34" s="554" t="str">
        <f>IF(F34="","",IF($M$7="yes",1.3*( IF(F34="finger pull",VLOOKUP(E34,BDD!B:T,11,0),IF(F34="hor.sequenced",VLOOKUP(E34,BDD!B:T,10,0),IF(F34="ver.sequenced",VLOOKUP(E34,BDD!B:T,10,0),IF(F34="TWo SIDES",VLOOKUP(E34,BDD!B:T,8,0), VLOOKUP(E34,BDD!B:T,9,0)))))),(IF(F34="finger pull",VLOOKUP(E34,BDD!B:T,11,0),IF(F34="hor.sequenced",VLOOKUP(E34,BDD!B:T,10,0),IF(F34="ver.sequenced",VLOOKUP(E34,BDD!B:T,10,0),IF(F34="TWo SIDES",VLOOKUP(E34,BDD!B:T,8,0), VLOOKUP(E34,BDD!B:T,9,0))))))))</f>
        <v/>
      </c>
      <c r="M34" s="555" t="str">
        <f>IF(L34="","",IF(VLOOKUP(E34,BDD!B:T,17,0)="luxe",$N$43,$N$44))</f>
        <v/>
      </c>
      <c r="N34" s="119" t="str">
        <f t="shared" si="0"/>
        <v/>
      </c>
      <c r="O34" s="149" t="str">
        <f>IF(E34="","",IF(VLOOKUP(E34,BDD!$B$8:$R$100,7,0)="yes","","*"))</f>
        <v/>
      </c>
    </row>
    <row r="35" spans="1:15" ht="20.25" customHeight="1" x14ac:dyDescent="0.25">
      <c r="A35" s="330">
        <v>26</v>
      </c>
      <c r="B35" s="548"/>
      <c r="C35" s="549"/>
      <c r="D35" s="549"/>
      <c r="E35" s="550"/>
      <c r="F35" s="548"/>
      <c r="G35" s="597"/>
      <c r="H35" s="598"/>
      <c r="I35" s="598"/>
      <c r="J35" s="599"/>
      <c r="K35" s="553" t="str">
        <f>IF(C35=0,"",IF($N$7="Inch",IF(C35*D35/144&lt;BDD!$AH$21,B35*BDD!$AH$21,B35*(C35*D35/144)),IF(C35*D35&lt;BDD!$AI$21,B35*BDD!$AH$21,B35*(C35*D35*0.00001076391))))</f>
        <v/>
      </c>
      <c r="L35" s="554" t="str">
        <f>IF(F35="","",IF($M$7="yes",1.3*( IF(F35="finger pull",VLOOKUP(E35,BDD!B:T,11,0),IF(F35="hor.sequenced",VLOOKUP(E35,BDD!B:T,10,0),IF(F35="ver.sequenced",VLOOKUP(E35,BDD!B:T,10,0),IF(F35="TWo SIDES",VLOOKUP(E35,BDD!B:T,8,0), VLOOKUP(E35,BDD!B:T,9,0)))))),(IF(F35="finger pull",VLOOKUP(E35,BDD!B:T,11,0),IF(F35="hor.sequenced",VLOOKUP(E35,BDD!B:T,10,0),IF(F35="ver.sequenced",VLOOKUP(E35,BDD!B:T,10,0),IF(F35="TWo SIDES",VLOOKUP(E35,BDD!B:T,8,0), VLOOKUP(E35,BDD!B:T,9,0))))))))</f>
        <v/>
      </c>
      <c r="M35" s="555" t="str">
        <f>IF(L35="","",IF(VLOOKUP(E35,BDD!B:T,17,0)="luxe",$N$43,$N$44))</f>
        <v/>
      </c>
      <c r="N35" s="119" t="str">
        <f t="shared" si="0"/>
        <v/>
      </c>
      <c r="O35" s="149" t="str">
        <f>IF(E35="","",IF(VLOOKUP(E35,BDD!$B$8:$R$100,7,0)="yes","","*"))</f>
        <v/>
      </c>
    </row>
    <row r="36" spans="1:15" ht="20.25" customHeight="1" x14ac:dyDescent="0.25">
      <c r="A36" s="330">
        <v>27</v>
      </c>
      <c r="B36" s="548"/>
      <c r="C36" s="549"/>
      <c r="D36" s="549"/>
      <c r="E36" s="550"/>
      <c r="F36" s="548"/>
      <c r="G36" s="597"/>
      <c r="H36" s="598"/>
      <c r="I36" s="598"/>
      <c r="J36" s="599"/>
      <c r="K36" s="553" t="str">
        <f>IF(C36=0,"",IF($N$7="Inch",IF(C36*D36/144&lt;BDD!$AH$21,B36*BDD!$AH$21,B36*(C36*D36/144)),IF(C36*D36&lt;BDD!$AI$21,B36*BDD!$AH$21,B36*(C36*D36*0.00001076391))))</f>
        <v/>
      </c>
      <c r="L36" s="554" t="str">
        <f>IF(F36="","",IF($M$7="yes",1.3*( IF(F36="finger pull",VLOOKUP(E36,BDD!B:T,11,0),IF(F36="hor.sequenced",VLOOKUP(E36,BDD!B:T,10,0),IF(F36="ver.sequenced",VLOOKUP(E36,BDD!B:T,10,0),IF(F36="TWo SIDES",VLOOKUP(E36,BDD!B:T,8,0), VLOOKUP(E36,BDD!B:T,9,0)))))),(IF(F36="finger pull",VLOOKUP(E36,BDD!B:T,11,0),IF(F36="hor.sequenced",VLOOKUP(E36,BDD!B:T,10,0),IF(F36="ver.sequenced",VLOOKUP(E36,BDD!B:T,10,0),IF(F36="TWo SIDES",VLOOKUP(E36,BDD!B:T,8,0), VLOOKUP(E36,BDD!B:T,9,0))))))))</f>
        <v/>
      </c>
      <c r="M36" s="555" t="str">
        <f>IF(L36="","",IF(VLOOKUP(E36,BDD!B:T,17,0)="luxe",$N$43,$N$44))</f>
        <v/>
      </c>
      <c r="N36" s="119" t="str">
        <f t="shared" si="0"/>
        <v/>
      </c>
      <c r="O36" s="149" t="str">
        <f>IF(E36="","",IF(VLOOKUP(E36,BDD!$B$8:$R$100,7,0)="yes","","*"))</f>
        <v/>
      </c>
    </row>
    <row r="37" spans="1:15" ht="20.25" customHeight="1" x14ac:dyDescent="0.25">
      <c r="A37" s="330">
        <v>28</v>
      </c>
      <c r="B37" s="548"/>
      <c r="C37" s="549"/>
      <c r="D37" s="549"/>
      <c r="E37" s="550"/>
      <c r="F37" s="548"/>
      <c r="G37" s="597"/>
      <c r="H37" s="598"/>
      <c r="I37" s="598"/>
      <c r="J37" s="599"/>
      <c r="K37" s="553" t="str">
        <f>IF(C37=0,"",IF($N$7="Inch",IF(C37*D37/144&lt;BDD!$AH$21,B37*BDD!$AH$21,B37*(C37*D37/144)),IF(C37*D37&lt;BDD!$AI$21,B37*BDD!$AH$21,B37*(C37*D37*0.00001076391))))</f>
        <v/>
      </c>
      <c r="L37" s="554" t="str">
        <f>IF(F37="","",IF($M$7="yes",1.3*( IF(F37="finger pull",VLOOKUP(E37,BDD!B:T,11,0),IF(F37="hor.sequenced",VLOOKUP(E37,BDD!B:T,10,0),IF(F37="ver.sequenced",VLOOKUP(E37,BDD!B:T,10,0),IF(F37="TWo SIDES",VLOOKUP(E37,BDD!B:T,8,0), VLOOKUP(E37,BDD!B:T,9,0)))))),(IF(F37="finger pull",VLOOKUP(E37,BDD!B:T,11,0),IF(F37="hor.sequenced",VLOOKUP(E37,BDD!B:T,10,0),IF(F37="ver.sequenced",VLOOKUP(E37,BDD!B:T,10,0),IF(F37="TWo SIDES",VLOOKUP(E37,BDD!B:T,8,0), VLOOKUP(E37,BDD!B:T,9,0))))))))</f>
        <v/>
      </c>
      <c r="M37" s="555" t="str">
        <f>IF(L37="","",IF(VLOOKUP(E37,BDD!B:T,17,0)="luxe",$N$43,$N$44))</f>
        <v/>
      </c>
      <c r="N37" s="119" t="str">
        <f t="shared" si="0"/>
        <v/>
      </c>
      <c r="O37" s="149" t="str">
        <f>IF(E37="","",IF(VLOOKUP(E37,BDD!$B$8:$R$100,7,0)="yes","","*"))</f>
        <v/>
      </c>
    </row>
    <row r="38" spans="1:15" ht="20.25" customHeight="1" x14ac:dyDescent="0.25">
      <c r="A38" s="330">
        <v>29</v>
      </c>
      <c r="B38" s="548"/>
      <c r="C38" s="549"/>
      <c r="D38" s="549"/>
      <c r="E38" s="550"/>
      <c r="F38" s="548"/>
      <c r="G38" s="597"/>
      <c r="H38" s="598"/>
      <c r="I38" s="598"/>
      <c r="J38" s="599"/>
      <c r="K38" s="553" t="str">
        <f>IF(C38=0,"",IF($N$7="Inch",IF(C38*D38/144&lt;BDD!$AH$21,B38*BDD!$AH$21,B38*(C38*D38/144)),IF(C38*D38&lt;BDD!$AI$21,B38*BDD!$AH$21,B38*(C38*D38*0.00001076391))))</f>
        <v/>
      </c>
      <c r="L38" s="554" t="str">
        <f>IF(F38="","",IF($M$7="yes",1.3*( IF(F38="finger pull",VLOOKUP(E38,BDD!B:T,11,0),IF(F38="hor.sequenced",VLOOKUP(E38,BDD!B:T,10,0),IF(F38="ver.sequenced",VLOOKUP(E38,BDD!B:T,10,0),IF(F38="TWo SIDES",VLOOKUP(E38,BDD!B:T,8,0), VLOOKUP(E38,BDD!B:T,9,0)))))),(IF(F38="finger pull",VLOOKUP(E38,BDD!B:T,11,0),IF(F38="hor.sequenced",VLOOKUP(E38,BDD!B:T,10,0),IF(F38="ver.sequenced",VLOOKUP(E38,BDD!B:T,10,0),IF(F38="TWo SIDES",VLOOKUP(E38,BDD!B:T,8,0), VLOOKUP(E38,BDD!B:T,9,0))))))))</f>
        <v/>
      </c>
      <c r="M38" s="555" t="str">
        <f>IF(L38="","",IF(VLOOKUP(E38,BDD!B:T,17,0)="luxe",$N$43,$N$44))</f>
        <v/>
      </c>
      <c r="N38" s="119" t="str">
        <f t="shared" si="0"/>
        <v/>
      </c>
      <c r="O38" s="149" t="str">
        <f>IF(E38="","",IF(VLOOKUP(E38,BDD!$B$8:$R$100,7,0)="yes","","*"))</f>
        <v/>
      </c>
    </row>
    <row r="39" spans="1:15" ht="20.25" customHeight="1" thickBot="1" x14ac:dyDescent="0.3">
      <c r="A39" s="331">
        <v>30</v>
      </c>
      <c r="B39" s="556"/>
      <c r="C39" s="557"/>
      <c r="D39" s="557"/>
      <c r="E39" s="591"/>
      <c r="F39" s="558"/>
      <c r="G39" s="600"/>
      <c r="H39" s="601"/>
      <c r="I39" s="601"/>
      <c r="J39" s="602"/>
      <c r="K39" s="559" t="str">
        <f>IF(C39=0,"",IF($N$7="Inch",IF(C39*D39/144&lt;BDD!$AH$21,B39*BDD!$AH$21,B39*(C39*D39/144)),IF(C39*D39&lt;BDD!$AI$21,B39*BDD!$AH$21,B39*(C39*D39*0.00001076391))))</f>
        <v/>
      </c>
      <c r="L39" s="174" t="str">
        <f>IF(F39="","",IF($M$7="yes",1.3*( IF(F39="finger pull",VLOOKUP(E39,BDD!B:T,11,0),IF(F39="hor.sequenced",VLOOKUP(E39,BDD!B:T,10,0),IF(F39="ver.sequenced",VLOOKUP(E39,BDD!B:T,10,0),IF(F39="TWo SIDES",VLOOKUP(E39,BDD!B:T,8,0), VLOOKUP(E39,BDD!B:T,9,0)))))),(IF(F39="finger pull",VLOOKUP(E39,BDD!B:T,11,0),IF(F39="hor.sequenced",VLOOKUP(E39,BDD!B:T,10,0),IF(F39="ver.sequenced",VLOOKUP(E39,BDD!B:T,10,0),IF(F39="TWo SIDES",VLOOKUP(E39,BDD!B:T,8,0), VLOOKUP(E39,BDD!B:T,9,0))))))))</f>
        <v/>
      </c>
      <c r="M39" s="172" t="str">
        <f>IF(L39="","",IF(VLOOKUP(E39,BDD!B:T,17,0)="luxe",$N$43,$N$44))</f>
        <v/>
      </c>
      <c r="N39" s="173" t="str">
        <f t="shared" si="0"/>
        <v/>
      </c>
      <c r="O39" s="149" t="str">
        <f>IF(E39="","",IF(VLOOKUP(E39,BDD!$B$8:$R$100,7,0)="yes","","*"))</f>
        <v/>
      </c>
    </row>
    <row r="40" spans="1:15" ht="20.100000000000001" customHeight="1" x14ac:dyDescent="0.3">
      <c r="A40" s="32"/>
      <c r="B40" s="47">
        <f>SUM(B10:B39)</f>
        <v>0</v>
      </c>
      <c r="C40" s="608" t="s">
        <v>85</v>
      </c>
      <c r="D40" s="609"/>
      <c r="E40" s="29"/>
      <c r="F40" s="29"/>
      <c r="G40" s="29"/>
      <c r="H40" s="29"/>
      <c r="I40" s="29"/>
      <c r="J40" s="49" t="s">
        <v>86</v>
      </c>
      <c r="K40" s="50">
        <f>SUM(K10:K39)</f>
        <v>0</v>
      </c>
      <c r="L40" s="643" t="s">
        <v>87</v>
      </c>
      <c r="M40" s="643"/>
      <c r="N40" s="48">
        <f>SUM(N10:N39)</f>
        <v>0</v>
      </c>
      <c r="O40" s="32"/>
    </row>
    <row r="41" spans="1:15" ht="20.100000000000001" customHeight="1" thickBot="1" x14ac:dyDescent="0.3">
      <c r="A41" s="32"/>
      <c r="B41" s="621" t="str">
        <f>IF(COUNTBLANK(O10:O39)=30,"", "NOTE: Some references which are not in Stock. Delivery time will be 8 to 10 weeks")</f>
        <v/>
      </c>
      <c r="C41" s="621"/>
      <c r="D41" s="621"/>
      <c r="E41" s="621"/>
      <c r="F41" s="621"/>
      <c r="G41" s="621"/>
      <c r="H41" s="621"/>
      <c r="I41" s="621"/>
      <c r="J41" s="621"/>
      <c r="K41" s="616" t="s">
        <v>226</v>
      </c>
      <c r="L41" s="616"/>
      <c r="M41" s="617">
        <f>N40+'Panel order'!L40+'Edge order'!N40+'Cava Doors order'!N40</f>
        <v>0</v>
      </c>
      <c r="N41" s="617"/>
      <c r="O41" s="32"/>
    </row>
    <row r="42" spans="1:15" ht="18.75" customHeight="1" x14ac:dyDescent="0.25">
      <c r="A42" s="626" t="s">
        <v>19</v>
      </c>
      <c r="B42" s="627"/>
      <c r="C42" s="627"/>
      <c r="D42" s="627"/>
      <c r="E42" s="627"/>
      <c r="F42" s="627"/>
      <c r="G42" s="627"/>
      <c r="H42" s="628"/>
      <c r="I42" s="618" t="s">
        <v>20</v>
      </c>
      <c r="J42" s="619"/>
      <c r="K42" s="619"/>
      <c r="L42" s="620"/>
      <c r="M42" s="632" t="s">
        <v>88</v>
      </c>
      <c r="N42" s="633"/>
      <c r="O42" s="32"/>
    </row>
    <row r="43" spans="1:15" ht="18.75" customHeight="1" x14ac:dyDescent="0.25">
      <c r="A43" s="610"/>
      <c r="B43" s="611"/>
      <c r="C43" s="611"/>
      <c r="D43" s="611"/>
      <c r="E43" s="611"/>
      <c r="F43" s="611"/>
      <c r="G43" s="611"/>
      <c r="H43" s="612"/>
      <c r="I43" s="622" t="s">
        <v>90</v>
      </c>
      <c r="J43" s="623"/>
      <c r="K43" s="623"/>
      <c r="L43" s="54"/>
      <c r="M43" s="24" t="s">
        <v>67</v>
      </c>
      <c r="N43" s="46"/>
      <c r="O43" s="32"/>
    </row>
    <row r="44" spans="1:15" ht="18.75" customHeight="1" thickBot="1" x14ac:dyDescent="0.3">
      <c r="A44" s="613"/>
      <c r="B44" s="614"/>
      <c r="C44" s="614"/>
      <c r="D44" s="614"/>
      <c r="E44" s="614"/>
      <c r="F44" s="614"/>
      <c r="G44" s="614"/>
      <c r="H44" s="615"/>
      <c r="I44" s="624"/>
      <c r="J44" s="625"/>
      <c r="K44" s="625"/>
      <c r="L44" s="55"/>
      <c r="M44" s="332" t="s">
        <v>215</v>
      </c>
      <c r="N44" s="53"/>
      <c r="O44" s="32"/>
    </row>
    <row r="45" spans="1:15" ht="23.1" customHeight="1" x14ac:dyDescent="0.25">
      <c r="A45" s="603" t="s">
        <v>321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32"/>
    </row>
    <row r="46" spans="1:15" ht="18.75" customHeight="1" x14ac:dyDescent="0.25">
      <c r="A46" s="32"/>
      <c r="B46" s="32"/>
      <c r="C46" s="32"/>
      <c r="D46" s="32"/>
      <c r="E46" s="105"/>
      <c r="F46" s="105"/>
      <c r="G46" s="32"/>
      <c r="H46" s="32"/>
      <c r="I46" s="32"/>
      <c r="J46" s="32"/>
      <c r="K46" s="150"/>
      <c r="L46" s="32"/>
      <c r="M46" s="32"/>
      <c r="N46" s="32"/>
      <c r="O46" s="32"/>
    </row>
    <row r="47" spans="1:15" x14ac:dyDescent="0.25">
      <c r="A47" s="32"/>
      <c r="B47" s="32"/>
      <c r="C47" s="32"/>
      <c r="D47" s="32"/>
      <c r="E47" s="32"/>
      <c r="F47" s="105"/>
      <c r="G47" s="32"/>
      <c r="H47" s="32"/>
      <c r="I47" s="32"/>
      <c r="J47" s="32"/>
      <c r="K47" s="150"/>
      <c r="L47" s="32"/>
      <c r="M47" s="32"/>
      <c r="N47" s="32"/>
      <c r="O47" s="32"/>
    </row>
    <row r="48" spans="1:15" x14ac:dyDescent="0.25">
      <c r="A48" s="32"/>
      <c r="B48" s="32"/>
      <c r="C48" s="32"/>
      <c r="D48" s="32"/>
      <c r="E48" s="32"/>
      <c r="F48" s="105"/>
      <c r="G48" s="32"/>
      <c r="H48" s="32"/>
      <c r="I48" s="32"/>
      <c r="J48" s="32"/>
      <c r="K48" s="150"/>
      <c r="L48" s="32"/>
      <c r="M48" s="32"/>
      <c r="N48" s="32"/>
      <c r="O48" s="32"/>
    </row>
    <row r="49" spans="1:255" ht="18.75" x14ac:dyDescent="0.3">
      <c r="A49" s="32"/>
      <c r="B49" s="327"/>
      <c r="C49" s="32"/>
      <c r="D49" s="32"/>
      <c r="E49" s="32"/>
      <c r="F49" s="105"/>
      <c r="G49" s="32"/>
      <c r="H49" s="32"/>
      <c r="I49" s="32"/>
      <c r="J49" s="32"/>
      <c r="K49" s="328"/>
      <c r="L49" s="144"/>
      <c r="M49" s="144"/>
      <c r="N49" s="144"/>
      <c r="O49" s="144"/>
    </row>
    <row r="50" spans="1:255" x14ac:dyDescent="0.25">
      <c r="Q50" s="152"/>
      <c r="R50" s="152"/>
      <c r="S50" s="152"/>
    </row>
    <row r="51" spans="1:255" s="152" customFormat="1" ht="18.75" x14ac:dyDescent="0.25">
      <c r="D51" s="153"/>
      <c r="E51" s="153"/>
      <c r="F51" s="154"/>
      <c r="G51" s="154"/>
      <c r="H51" s="154"/>
      <c r="I51" s="154"/>
      <c r="M51" s="33"/>
      <c r="N51" s="34"/>
      <c r="O51" s="34"/>
    </row>
    <row r="52" spans="1:255" s="152" customFormat="1" ht="15.75" x14ac:dyDescent="0.25">
      <c r="B52" s="155"/>
      <c r="C52" s="156"/>
      <c r="D52" s="157"/>
      <c r="E52" s="158"/>
      <c r="F52" s="158"/>
      <c r="H52" s="154"/>
      <c r="M52"/>
      <c r="N52"/>
      <c r="O52"/>
    </row>
    <row r="53" spans="1:255" s="152" customFormat="1" ht="15.75" x14ac:dyDescent="0.25">
      <c r="B53" s="155"/>
      <c r="C53" s="156"/>
      <c r="D53" s="157"/>
      <c r="E53" s="158"/>
      <c r="F53" s="158"/>
      <c r="H53" s="154"/>
      <c r="M53" s="36"/>
      <c r="N53" s="36"/>
      <c r="O53" s="36"/>
    </row>
    <row r="54" spans="1:255" s="152" customFormat="1" ht="15.75" x14ac:dyDescent="0.25">
      <c r="B54" s="155"/>
      <c r="C54" s="156"/>
      <c r="E54" s="158"/>
      <c r="F54" s="158"/>
      <c r="H54" s="154"/>
      <c r="M54" s="42"/>
      <c r="N54" s="42"/>
      <c r="O54" s="42"/>
    </row>
    <row r="55" spans="1:255" s="152" customFormat="1" ht="15.75" x14ac:dyDescent="0.25">
      <c r="B55" s="155"/>
      <c r="C55" s="156"/>
      <c r="E55" s="158"/>
      <c r="F55" s="154"/>
      <c r="H55" s="154"/>
      <c r="M55" s="15"/>
      <c r="N55" s="37"/>
      <c r="O55" s="37"/>
    </row>
    <row r="56" spans="1:255" s="152" customFormat="1" ht="15.75" x14ac:dyDescent="0.25">
      <c r="B56" s="155"/>
      <c r="C56" s="156"/>
      <c r="E56" s="158"/>
      <c r="M56" s="15"/>
      <c r="N56" s="37"/>
      <c r="O56" s="37"/>
      <c r="Q56"/>
      <c r="R56"/>
      <c r="S56"/>
    </row>
    <row r="57" spans="1:255" s="152" customFormat="1" ht="15.75" x14ac:dyDescent="0.25">
      <c r="B57" s="155"/>
      <c r="C57" s="156"/>
      <c r="E57" s="158"/>
      <c r="M57" s="15"/>
      <c r="N57" s="37"/>
      <c r="O57" s="3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52" customFormat="1" ht="15.75" x14ac:dyDescent="0.25">
      <c r="B58" s="155"/>
      <c r="C58" s="156"/>
      <c r="E58" s="158"/>
      <c r="M58" s="42"/>
      <c r="N58" s="42"/>
      <c r="O58" s="4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52" customFormat="1" ht="15.75" x14ac:dyDescent="0.25">
      <c r="B59" s="155"/>
      <c r="C59" s="156"/>
      <c r="E59" s="158"/>
      <c r="M59" s="15"/>
      <c r="N59" s="37"/>
      <c r="O59" s="3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52" customFormat="1" ht="15.75" x14ac:dyDescent="0.25">
      <c r="B60" s="155"/>
      <c r="C60" s="156"/>
      <c r="E60" s="158"/>
      <c r="M60" s="15"/>
      <c r="N60" s="37"/>
      <c r="O60" s="37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152" customFormat="1" ht="15.75" x14ac:dyDescent="0.25">
      <c r="B61" s="155"/>
      <c r="C61" s="156"/>
      <c r="E61" s="158"/>
      <c r="M61" s="15"/>
      <c r="N61" s="37"/>
      <c r="O61" s="37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152" customFormat="1" ht="15.75" x14ac:dyDescent="0.25">
      <c r="B62" s="155"/>
      <c r="C62" s="156"/>
      <c r="E62" s="15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52" customFormat="1" ht="18.75" x14ac:dyDescent="0.25">
      <c r="B63" s="155"/>
      <c r="C63" s="156"/>
      <c r="E63" s="158"/>
      <c r="M63" s="33"/>
      <c r="N63" s="34"/>
      <c r="O63" s="3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52" customFormat="1" ht="15.75" x14ac:dyDescent="0.25">
      <c r="B64" s="155"/>
      <c r="C64" s="156"/>
      <c r="E64" s="15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2:255" s="152" customFormat="1" ht="15.75" x14ac:dyDescent="0.25">
      <c r="B65" s="155"/>
      <c r="C65" s="156"/>
      <c r="E65" s="158"/>
      <c r="M65" s="36"/>
      <c r="N65" s="36"/>
      <c r="O65" s="3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2:255" s="152" customFormat="1" ht="15.75" x14ac:dyDescent="0.25">
      <c r="B66" s="155"/>
      <c r="C66" s="156"/>
      <c r="E66" s="158"/>
      <c r="M66" s="38"/>
      <c r="N66" s="37"/>
      <c r="O66" s="37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2:255" s="152" customFormat="1" ht="15.75" x14ac:dyDescent="0.25">
      <c r="B67" s="155"/>
      <c r="C67" s="156"/>
      <c r="E67" s="158"/>
      <c r="M67" s="38"/>
      <c r="N67" s="37"/>
      <c r="O67" s="3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2:255" s="152" customFormat="1" ht="15.75" x14ac:dyDescent="0.25">
      <c r="B68" s="155"/>
      <c r="C68" s="156"/>
      <c r="E68" s="158"/>
      <c r="M68" s="38"/>
      <c r="N68" s="37"/>
      <c r="O68" s="37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2:255" s="152" customFormat="1" ht="15.75" x14ac:dyDescent="0.25">
      <c r="B69" s="155"/>
      <c r="C69" s="156"/>
      <c r="E69" s="158"/>
      <c r="M69" s="38"/>
      <c r="N69" s="39"/>
      <c r="O69" s="3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2:255" s="152" customFormat="1" ht="15.75" x14ac:dyDescent="0.25">
      <c r="B70" s="155"/>
      <c r="C70" s="156"/>
      <c r="E70" s="158"/>
      <c r="M70" s="38"/>
      <c r="N70" s="39"/>
      <c r="O70" s="3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:255" s="152" customFormat="1" ht="15.75" x14ac:dyDescent="0.25">
      <c r="B71" s="155"/>
      <c r="C71" s="156"/>
      <c r="E71" s="158"/>
      <c r="M71" s="38"/>
      <c r="N71" s="39"/>
      <c r="O71" s="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2:255" s="152" customFormat="1" ht="15.75" x14ac:dyDescent="0.25">
      <c r="B72" s="155"/>
      <c r="C72" s="156"/>
      <c r="E72" s="158"/>
      <c r="M72" s="38"/>
      <c r="N72" s="39"/>
      <c r="O72" s="3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255" s="152" customFormat="1" ht="15.75" x14ac:dyDescent="0.25">
      <c r="B73" s="159"/>
      <c r="C73" s="156"/>
      <c r="E73" s="158"/>
      <c r="M73" s="40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:255" s="152" customFormat="1" ht="18.75" x14ac:dyDescent="0.25">
      <c r="B74" s="159"/>
      <c r="C74" s="156"/>
      <c r="E74" s="158"/>
      <c r="M74" s="33"/>
      <c r="N74" s="35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2:255" s="152" customFormat="1" ht="15.75" x14ac:dyDescent="0.25">
      <c r="B75" s="156"/>
      <c r="C75" s="156"/>
      <c r="E75" s="15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2:255" s="152" customFormat="1" ht="15.75" x14ac:dyDescent="0.25">
      <c r="B76" s="156"/>
      <c r="C76" s="155"/>
      <c r="E76" s="158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2:255" s="152" customFormat="1" ht="15.75" x14ac:dyDescent="0.25">
      <c r="B77" s="156"/>
      <c r="C77" s="155"/>
      <c r="E77" s="158"/>
      <c r="M77" s="38"/>
      <c r="N77" s="15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2:255" s="152" customFormat="1" ht="15.75" x14ac:dyDescent="0.25">
      <c r="B78" s="156"/>
      <c r="C78" s="155"/>
      <c r="E78" s="158"/>
      <c r="M78" s="38"/>
      <c r="N78" s="15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:255" s="152" customFormat="1" ht="15.75" x14ac:dyDescent="0.25">
      <c r="B79" s="159"/>
      <c r="C79" s="155"/>
      <c r="E79" s="158"/>
      <c r="M79" s="38"/>
      <c r="N79" s="15"/>
      <c r="P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s="152" customFormat="1" ht="15.75" x14ac:dyDescent="0.25">
      <c r="B80" s="159"/>
      <c r="C80" s="155"/>
      <c r="E80" s="158"/>
      <c r="M80" s="38"/>
      <c r="N80" s="15"/>
    </row>
    <row r="81" spans="2:15" s="152" customFormat="1" ht="15.75" x14ac:dyDescent="0.25">
      <c r="B81" s="159"/>
      <c r="C81" s="155"/>
      <c r="E81" s="158"/>
    </row>
    <row r="82" spans="2:15" s="152" customFormat="1" ht="18.75" x14ac:dyDescent="0.25">
      <c r="B82" s="159"/>
      <c r="C82" s="155"/>
      <c r="E82" s="158"/>
      <c r="M82" s="33"/>
      <c r="N82" s="34"/>
      <c r="O82" s="35"/>
    </row>
    <row r="83" spans="2:15" s="152" customFormat="1" ht="15.75" x14ac:dyDescent="0.25">
      <c r="B83" s="159"/>
      <c r="C83" s="155"/>
      <c r="E83" s="158"/>
      <c r="M83"/>
      <c r="N83"/>
      <c r="O83"/>
    </row>
    <row r="84" spans="2:15" s="152" customFormat="1" ht="15.75" x14ac:dyDescent="0.25">
      <c r="B84" s="159"/>
      <c r="C84" s="160"/>
      <c r="E84" s="158"/>
      <c r="M84" s="36"/>
      <c r="N84" s="36"/>
      <c r="O84" s="36"/>
    </row>
    <row r="85" spans="2:15" s="152" customFormat="1" ht="15.75" x14ac:dyDescent="0.25">
      <c r="B85" s="159"/>
      <c r="C85" s="159"/>
      <c r="E85" s="158"/>
      <c r="M85" s="22"/>
      <c r="N85" s="37"/>
      <c r="O85" s="37"/>
    </row>
    <row r="86" spans="2:15" s="152" customFormat="1" ht="15.75" x14ac:dyDescent="0.25">
      <c r="B86" s="159"/>
      <c r="C86" s="159"/>
      <c r="E86" s="158"/>
      <c r="M86" s="22"/>
      <c r="N86" s="37"/>
      <c r="O86" s="37"/>
    </row>
    <row r="87" spans="2:15" s="152" customFormat="1" ht="15.75" x14ac:dyDescent="0.25">
      <c r="B87" s="159"/>
      <c r="C87" s="159"/>
      <c r="E87" s="158"/>
      <c r="M87" s="12"/>
      <c r="N87" s="41"/>
      <c r="O87" s="41"/>
    </row>
    <row r="88" spans="2:15" s="152" customFormat="1" ht="15.75" x14ac:dyDescent="0.25">
      <c r="B88" s="159"/>
      <c r="C88" s="159"/>
      <c r="E88" s="158"/>
      <c r="M88" s="22"/>
      <c r="N88" s="37"/>
      <c r="O88" s="37"/>
    </row>
    <row r="89" spans="2:15" s="152" customFormat="1" ht="15.75" x14ac:dyDescent="0.25">
      <c r="E89" s="158"/>
    </row>
    <row r="90" spans="2:15" s="152" customFormat="1" ht="18.75" x14ac:dyDescent="0.25">
      <c r="E90" s="158"/>
      <c r="M90" s="33"/>
      <c r="N90" s="34"/>
      <c r="O90" s="35"/>
    </row>
    <row r="91" spans="2:15" s="152" customFormat="1" ht="15.75" x14ac:dyDescent="0.25">
      <c r="B91" s="161"/>
      <c r="E91" s="158"/>
      <c r="M91"/>
      <c r="N91"/>
      <c r="O91"/>
    </row>
    <row r="92" spans="2:15" s="152" customFormat="1" ht="15.75" x14ac:dyDescent="0.25">
      <c r="B92" s="161"/>
      <c r="E92" s="158"/>
      <c r="M92" s="36"/>
      <c r="N92" s="36"/>
      <c r="O92" s="36"/>
    </row>
    <row r="93" spans="2:15" s="152" customFormat="1" ht="15.75" x14ac:dyDescent="0.25">
      <c r="B93" s="161"/>
      <c r="E93" s="158"/>
      <c r="M93" s="38"/>
      <c r="N93" s="15"/>
      <c r="O93" s="15"/>
    </row>
    <row r="94" spans="2:15" s="152" customFormat="1" ht="15.75" x14ac:dyDescent="0.25">
      <c r="B94" s="161"/>
      <c r="E94" s="158"/>
      <c r="M94" s="38"/>
      <c r="N94" s="15"/>
      <c r="O94" s="15"/>
    </row>
    <row r="95" spans="2:15" s="152" customFormat="1" ht="15.75" x14ac:dyDescent="0.25">
      <c r="B95" s="161"/>
      <c r="E95" s="158"/>
    </row>
    <row r="96" spans="2:15" s="152" customFormat="1" ht="18.75" x14ac:dyDescent="0.25">
      <c r="B96" s="161"/>
      <c r="E96" s="158"/>
      <c r="M96" s="33"/>
      <c r="N96" s="33"/>
      <c r="O96" s="35"/>
    </row>
    <row r="97" spans="2:15" s="152" customFormat="1" ht="15.75" x14ac:dyDescent="0.25">
      <c r="B97" s="161"/>
      <c r="E97" s="158"/>
      <c r="M97"/>
      <c r="N97"/>
      <c r="O97"/>
    </row>
    <row r="98" spans="2:15" s="152" customFormat="1" ht="15.75" x14ac:dyDescent="0.25">
      <c r="B98" s="161"/>
      <c r="E98" s="158"/>
      <c r="M98" s="43"/>
      <c r="N98" s="43"/>
      <c r="O98" s="36"/>
    </row>
    <row r="99" spans="2:15" s="152" customFormat="1" ht="15.75" x14ac:dyDescent="0.25">
      <c r="B99" s="161"/>
      <c r="E99" s="158"/>
      <c r="M99" s="11"/>
      <c r="N99" s="11"/>
      <c r="O99" s="15"/>
    </row>
    <row r="100" spans="2:15" s="152" customFormat="1" ht="15.75" x14ac:dyDescent="0.25">
      <c r="B100" s="161"/>
      <c r="D100" s="157"/>
      <c r="E100" s="158"/>
      <c r="M100" s="38"/>
      <c r="N100" s="38"/>
      <c r="O100" s="15"/>
    </row>
    <row r="101" spans="2:15" s="152" customFormat="1" ht="15.75" x14ac:dyDescent="0.25">
      <c r="B101" s="161"/>
      <c r="D101" s="157"/>
      <c r="E101" s="158"/>
      <c r="M101" s="11"/>
      <c r="N101" s="11"/>
      <c r="O101" s="15"/>
    </row>
    <row r="102" spans="2:15" s="152" customFormat="1" ht="15.75" x14ac:dyDescent="0.25">
      <c r="B102" s="161"/>
      <c r="D102" s="157"/>
      <c r="E102" s="158"/>
    </row>
    <row r="103" spans="2:15" s="152" customFormat="1" ht="15.75" x14ac:dyDescent="0.25">
      <c r="B103" s="161"/>
      <c r="D103" s="157"/>
      <c r="E103" s="158"/>
    </row>
    <row r="104" spans="2:15" s="152" customFormat="1" ht="15.75" x14ac:dyDescent="0.25">
      <c r="B104" s="161"/>
      <c r="D104" s="157"/>
      <c r="E104" s="158"/>
    </row>
    <row r="105" spans="2:15" s="152" customFormat="1" ht="15.75" x14ac:dyDescent="0.25">
      <c r="B105" s="161"/>
      <c r="D105" s="157"/>
      <c r="E105" s="158"/>
    </row>
    <row r="106" spans="2:15" s="152" customFormat="1" ht="15.75" x14ac:dyDescent="0.25">
      <c r="B106" s="161"/>
      <c r="D106" s="157"/>
      <c r="E106" s="158"/>
    </row>
    <row r="107" spans="2:15" s="152" customFormat="1" ht="15.75" x14ac:dyDescent="0.25">
      <c r="B107" s="161"/>
      <c r="D107" s="157"/>
      <c r="E107" s="158"/>
    </row>
    <row r="108" spans="2:15" s="152" customFormat="1" ht="15.75" x14ac:dyDescent="0.25">
      <c r="B108" s="161"/>
      <c r="D108" s="157"/>
      <c r="E108" s="158"/>
    </row>
    <row r="109" spans="2:15" s="152" customFormat="1" ht="15.75" x14ac:dyDescent="0.25">
      <c r="B109" s="161"/>
      <c r="D109" s="157"/>
      <c r="E109" s="158"/>
    </row>
    <row r="110" spans="2:15" s="152" customFormat="1" ht="15.75" x14ac:dyDescent="0.25">
      <c r="B110" s="161"/>
      <c r="D110" s="157"/>
      <c r="E110" s="158"/>
    </row>
    <row r="111" spans="2:15" s="152" customFormat="1" ht="15.75" x14ac:dyDescent="0.25">
      <c r="B111" s="161"/>
      <c r="D111" s="157"/>
      <c r="E111" s="158"/>
    </row>
    <row r="112" spans="2:15" s="152" customFormat="1" ht="15.75" x14ac:dyDescent="0.25">
      <c r="B112" s="161"/>
      <c r="D112" s="157"/>
      <c r="E112" s="158"/>
    </row>
    <row r="113" spans="2:19" s="152" customFormat="1" ht="15.75" x14ac:dyDescent="0.25">
      <c r="B113" s="161"/>
      <c r="D113" s="157"/>
      <c r="E113" s="158"/>
    </row>
    <row r="114" spans="2:19" s="152" customFormat="1" ht="15.75" x14ac:dyDescent="0.25">
      <c r="B114" s="161"/>
      <c r="D114" s="157"/>
      <c r="E114" s="158"/>
    </row>
    <row r="115" spans="2:19" s="152" customFormat="1" ht="15.75" x14ac:dyDescent="0.25">
      <c r="B115" s="161"/>
      <c r="D115" s="157"/>
      <c r="E115" s="158"/>
    </row>
    <row r="116" spans="2:19" s="152" customFormat="1" ht="15.75" x14ac:dyDescent="0.25">
      <c r="B116" s="161"/>
      <c r="D116" s="157"/>
      <c r="E116" s="158"/>
    </row>
    <row r="117" spans="2:19" s="152" customFormat="1" ht="15.75" x14ac:dyDescent="0.25">
      <c r="B117" s="161"/>
      <c r="D117" s="157"/>
      <c r="E117" s="158"/>
    </row>
    <row r="118" spans="2:19" s="152" customFormat="1" ht="15.75" x14ac:dyDescent="0.25">
      <c r="B118" s="161"/>
      <c r="D118" s="157"/>
      <c r="E118" s="158"/>
    </row>
    <row r="119" spans="2:19" s="152" customFormat="1" ht="15.75" x14ac:dyDescent="0.25">
      <c r="B119" s="161"/>
      <c r="D119" s="157"/>
      <c r="E119" s="158"/>
    </row>
    <row r="120" spans="2:19" s="152" customFormat="1" ht="15.75" x14ac:dyDescent="0.25">
      <c r="B120" s="161"/>
      <c r="D120" s="157"/>
      <c r="E120" s="158"/>
    </row>
    <row r="121" spans="2:19" s="152" customFormat="1" ht="15.75" x14ac:dyDescent="0.25">
      <c r="B121" s="161"/>
      <c r="D121" s="157"/>
      <c r="E121" s="158"/>
    </row>
    <row r="122" spans="2:19" s="152" customFormat="1" ht="15.75" x14ac:dyDescent="0.25">
      <c r="B122" s="161"/>
      <c r="D122" s="157"/>
      <c r="E122" s="158"/>
    </row>
    <row r="123" spans="2:19" s="152" customFormat="1" ht="15.75" x14ac:dyDescent="0.25">
      <c r="B123" s="161"/>
      <c r="D123" s="157"/>
      <c r="E123" s="158"/>
    </row>
    <row r="124" spans="2:19" s="152" customFormat="1" ht="15.75" x14ac:dyDescent="0.25">
      <c r="E124" s="158"/>
    </row>
    <row r="125" spans="2:19" s="152" customFormat="1" ht="15.75" x14ac:dyDescent="0.25">
      <c r="E125" s="158"/>
      <c r="Q125"/>
      <c r="R125"/>
      <c r="S125"/>
    </row>
    <row r="126" spans="2:19" ht="15.75" x14ac:dyDescent="0.25">
      <c r="E126" s="162"/>
      <c r="F126" s="163"/>
    </row>
    <row r="127" spans="2:19" ht="15.75" x14ac:dyDescent="0.25">
      <c r="E127" s="162"/>
      <c r="F127" s="155"/>
    </row>
    <row r="128" spans="2:19" ht="15.75" x14ac:dyDescent="0.25">
      <c r="E128" s="162"/>
      <c r="F128" s="155"/>
    </row>
    <row r="129" spans="5:6" ht="15.75" x14ac:dyDescent="0.25">
      <c r="E129" s="162"/>
      <c r="F129" s="155"/>
    </row>
    <row r="130" spans="5:6" ht="15.75" x14ac:dyDescent="0.25">
      <c r="E130" s="162"/>
      <c r="F130" s="155"/>
    </row>
    <row r="131" spans="5:6" ht="15.75" x14ac:dyDescent="0.25">
      <c r="E131" s="162"/>
      <c r="F131" s="155"/>
    </row>
    <row r="132" spans="5:6" ht="15.75" x14ac:dyDescent="0.25">
      <c r="E132" s="162"/>
      <c r="F132" s="155"/>
    </row>
    <row r="133" spans="5:6" x14ac:dyDescent="0.25">
      <c r="E133" s="22"/>
      <c r="F133"/>
    </row>
    <row r="134" spans="5:6" x14ac:dyDescent="0.25">
      <c r="E134" s="22"/>
      <c r="F134"/>
    </row>
    <row r="135" spans="5:6" x14ac:dyDescent="0.25">
      <c r="E135" s="22"/>
      <c r="F135"/>
    </row>
    <row r="136" spans="5:6" x14ac:dyDescent="0.25">
      <c r="E136" s="22"/>
      <c r="F136"/>
    </row>
    <row r="137" spans="5:6" x14ac:dyDescent="0.25">
      <c r="E137" s="22"/>
      <c r="F137"/>
    </row>
    <row r="138" spans="5:6" x14ac:dyDescent="0.25">
      <c r="E138" s="22"/>
      <c r="F138"/>
    </row>
    <row r="139" spans="5:6" x14ac:dyDescent="0.25">
      <c r="E139" s="22"/>
      <c r="F139"/>
    </row>
    <row r="140" spans="5:6" x14ac:dyDescent="0.25">
      <c r="E140" s="22"/>
      <c r="F140"/>
    </row>
    <row r="141" spans="5:6" x14ac:dyDescent="0.25">
      <c r="E141" s="22"/>
      <c r="F141"/>
    </row>
    <row r="142" spans="5:6" x14ac:dyDescent="0.25">
      <c r="E142" s="22"/>
      <c r="F142"/>
    </row>
  </sheetData>
  <sheetProtection algorithmName="SHA-512" hashValue="J0B4G9qCdiAnUQ0YkFUNlmKz459ab9WKWwrAF/KexTqdpimOxXhqcbzWC5PqQlacCwYMvZYOzN5YLdnTnCierA==" saltValue="QCDicg0kEDezQ2/LDaDO/A==" spinCount="100000" sheet="1" selectLockedCells="1"/>
  <mergeCells count="57">
    <mergeCell ref="E6:F6"/>
    <mergeCell ref="K6:L6"/>
    <mergeCell ref="J2:J3"/>
    <mergeCell ref="L40:M40"/>
    <mergeCell ref="J1:L1"/>
    <mergeCell ref="K2:L3"/>
    <mergeCell ref="K4:L5"/>
    <mergeCell ref="H6:J6"/>
    <mergeCell ref="J4:J5"/>
    <mergeCell ref="A1:E5"/>
    <mergeCell ref="A6:D6"/>
    <mergeCell ref="F1:I5"/>
    <mergeCell ref="G11:J11"/>
    <mergeCell ref="G12:J12"/>
    <mergeCell ref="G13:J13"/>
    <mergeCell ref="G14:J14"/>
    <mergeCell ref="A45:N45"/>
    <mergeCell ref="E7:F7"/>
    <mergeCell ref="K7:L7"/>
    <mergeCell ref="C40:D40"/>
    <mergeCell ref="A43:H44"/>
    <mergeCell ref="K41:L41"/>
    <mergeCell ref="M41:N41"/>
    <mergeCell ref="I42:L42"/>
    <mergeCell ref="B41:J41"/>
    <mergeCell ref="I43:K44"/>
    <mergeCell ref="A42:H42"/>
    <mergeCell ref="A7:D7"/>
    <mergeCell ref="M42:N42"/>
    <mergeCell ref="H7:J7"/>
    <mergeCell ref="G9:J9"/>
    <mergeCell ref="G10:J10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</mergeCells>
  <phoneticPr fontId="7" type="noConversion"/>
  <conditionalFormatting sqref="G10">
    <cfRule type="cellIs" dxfId="111" priority="132" operator="equal">
      <formula>"NO"</formula>
    </cfRule>
  </conditionalFormatting>
  <conditionalFormatting sqref="G10">
    <cfRule type="cellIs" dxfId="110" priority="111" operator="equal">
      <formula>"NO"</formula>
    </cfRule>
  </conditionalFormatting>
  <conditionalFormatting sqref="G10">
    <cfRule type="cellIs" dxfId="109" priority="127" operator="equal">
      <formula>"NO"</formula>
    </cfRule>
  </conditionalFormatting>
  <conditionalFormatting sqref="G10">
    <cfRule type="cellIs" dxfId="108" priority="125" operator="equal">
      <formula>"NO"</formula>
    </cfRule>
  </conditionalFormatting>
  <conditionalFormatting sqref="G10">
    <cfRule type="cellIs" dxfId="107" priority="106" operator="equal">
      <formula>"NO"</formula>
    </cfRule>
  </conditionalFormatting>
  <conditionalFormatting sqref="G10">
    <cfRule type="cellIs" dxfId="106" priority="122" operator="equal">
      <formula>"NO"</formula>
    </cfRule>
  </conditionalFormatting>
  <conditionalFormatting sqref="G10">
    <cfRule type="cellIs" dxfId="105" priority="119" operator="equal">
      <formula>"NO"</formula>
    </cfRule>
  </conditionalFormatting>
  <conditionalFormatting sqref="G10">
    <cfRule type="cellIs" dxfId="104" priority="117" operator="equal">
      <formula>"NO"</formula>
    </cfRule>
  </conditionalFormatting>
  <conditionalFormatting sqref="G10">
    <cfRule type="cellIs" dxfId="103" priority="98" operator="equal">
      <formula>"NO"</formula>
    </cfRule>
  </conditionalFormatting>
  <conditionalFormatting sqref="G10">
    <cfRule type="cellIs" dxfId="102" priority="114" operator="equal">
      <formula>"NO"</formula>
    </cfRule>
  </conditionalFormatting>
  <conditionalFormatting sqref="G10">
    <cfRule type="cellIs" dxfId="101" priority="113" operator="equal">
      <formula>"NO"</formula>
    </cfRule>
  </conditionalFormatting>
  <conditionalFormatting sqref="G10">
    <cfRule type="cellIs" dxfId="100" priority="112" operator="equal">
      <formula>"NO"</formula>
    </cfRule>
  </conditionalFormatting>
  <conditionalFormatting sqref="G10">
    <cfRule type="cellIs" dxfId="99" priority="104" operator="equal">
      <formula>"NO"</formula>
    </cfRule>
  </conditionalFormatting>
  <conditionalFormatting sqref="G10">
    <cfRule type="cellIs" dxfId="98" priority="101" operator="equal">
      <formula>"NO"</formula>
    </cfRule>
  </conditionalFormatting>
  <conditionalFormatting sqref="G10">
    <cfRule type="cellIs" dxfId="97" priority="96" operator="equal">
      <formula>"NO"</formula>
    </cfRule>
  </conditionalFormatting>
  <conditionalFormatting sqref="G10">
    <cfRule type="cellIs" dxfId="96" priority="93" operator="equal">
      <formula>"NO"</formula>
    </cfRule>
  </conditionalFormatting>
  <conditionalFormatting sqref="G10">
    <cfRule type="cellIs" dxfId="95" priority="92" operator="equal">
      <formula>"NO"</formula>
    </cfRule>
  </conditionalFormatting>
  <conditionalFormatting sqref="G10">
    <cfRule type="cellIs" dxfId="94" priority="91" operator="equal">
      <formula>"NO"</formula>
    </cfRule>
  </conditionalFormatting>
  <conditionalFormatting sqref="G11:G39">
    <cfRule type="cellIs" dxfId="93" priority="18" operator="equal">
      <formula>"NO"</formula>
    </cfRule>
  </conditionalFormatting>
  <conditionalFormatting sqref="G11:G39">
    <cfRule type="cellIs" dxfId="92" priority="9" operator="equal">
      <formula>"NO"</formula>
    </cfRule>
  </conditionalFormatting>
  <conditionalFormatting sqref="G11:G39">
    <cfRule type="cellIs" dxfId="91" priority="17" operator="equal">
      <formula>"NO"</formula>
    </cfRule>
  </conditionalFormatting>
  <conditionalFormatting sqref="G11:G39">
    <cfRule type="cellIs" dxfId="90" priority="16" operator="equal">
      <formula>"NO"</formula>
    </cfRule>
  </conditionalFormatting>
  <conditionalFormatting sqref="G11:G39">
    <cfRule type="cellIs" dxfId="89" priority="8" operator="equal">
      <formula>"NO"</formula>
    </cfRule>
  </conditionalFormatting>
  <conditionalFormatting sqref="G11:G39">
    <cfRule type="cellIs" dxfId="88" priority="15" operator="equal">
      <formula>"NO"</formula>
    </cfRule>
  </conditionalFormatting>
  <conditionalFormatting sqref="G11:G39">
    <cfRule type="cellIs" dxfId="87" priority="14" operator="equal">
      <formula>"NO"</formula>
    </cfRule>
  </conditionalFormatting>
  <conditionalFormatting sqref="G11:G39">
    <cfRule type="cellIs" dxfId="86" priority="13" operator="equal">
      <formula>"NO"</formula>
    </cfRule>
  </conditionalFormatting>
  <conditionalFormatting sqref="G11:G39">
    <cfRule type="cellIs" dxfId="85" priority="5" operator="equal">
      <formula>"NO"</formula>
    </cfRule>
  </conditionalFormatting>
  <conditionalFormatting sqref="G11:G39">
    <cfRule type="cellIs" dxfId="84" priority="12" operator="equal">
      <formula>"NO"</formula>
    </cfRule>
  </conditionalFormatting>
  <conditionalFormatting sqref="G11:G39">
    <cfRule type="cellIs" dxfId="83" priority="11" operator="equal">
      <formula>"NO"</formula>
    </cfRule>
  </conditionalFormatting>
  <conditionalFormatting sqref="G11:G39">
    <cfRule type="cellIs" dxfId="82" priority="10" operator="equal">
      <formula>"NO"</formula>
    </cfRule>
  </conditionalFormatting>
  <conditionalFormatting sqref="G11:G39">
    <cfRule type="cellIs" dxfId="81" priority="7" operator="equal">
      <formula>"NO"</formula>
    </cfRule>
  </conditionalFormatting>
  <conditionalFormatting sqref="G11:G39">
    <cfRule type="cellIs" dxfId="80" priority="6" operator="equal">
      <formula>"NO"</formula>
    </cfRule>
  </conditionalFormatting>
  <conditionalFormatting sqref="G11:G39">
    <cfRule type="cellIs" dxfId="79" priority="4" operator="equal">
      <formula>"NO"</formula>
    </cfRule>
  </conditionalFormatting>
  <conditionalFormatting sqref="G11:G39">
    <cfRule type="cellIs" dxfId="78" priority="3" operator="equal">
      <formula>"NO"</formula>
    </cfRule>
  </conditionalFormatting>
  <conditionalFormatting sqref="G11:G39">
    <cfRule type="cellIs" dxfId="77" priority="2" operator="equal">
      <formula>"NO"</formula>
    </cfRule>
  </conditionalFormatting>
  <conditionalFormatting sqref="G11:G39">
    <cfRule type="cellIs" dxfId="76" priority="1" operator="equal">
      <formula>"NO"</formula>
    </cfRule>
  </conditionalFormatting>
  <dataValidations count="1">
    <dataValidation type="textLength" operator="lessThanOrEqual" allowBlank="1" showInputMessage="1" showErrorMessage="1" sqref="A7:D7" xr:uid="{00000000-0002-0000-0000-000000000000}">
      <formula1>15</formula1>
    </dataValidation>
  </dataValidations>
  <printOptions horizontalCentered="1" verticalCentered="1"/>
  <pageMargins left="0.23622047244094491" right="0.23622047244094491" top="0.24000000000000002" bottom="0.24000000000000002" header="0.30000000000000004" footer="0.30000000000000004"/>
  <pageSetup scale="64" orientation="landscape" r:id="rId1"/>
  <headerFooter alignWithMargins="0"/>
  <ignoredErrors>
    <ignoredError sqref="O1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A3F16F-1A17-487C-B944-7DA846BFDC4C}">
          <x14:formula1>
            <xm:f>BDD!$AH$3:$AH$9</xm:f>
          </x14:formula1>
          <xm:sqref>F10:F39</xm:sqref>
        </x14:dataValidation>
        <x14:dataValidation type="list" allowBlank="1" showInputMessage="1" showErrorMessage="1" xr:uid="{7320206C-D737-450D-B9C7-381CCD6AB6F0}">
          <x14:formula1>
            <xm:f>BDD!$B$3:$B$101</xm:f>
          </x14:formula1>
          <xm:sqref>E10:E39</xm:sqref>
        </x14:dataValidation>
        <x14:dataValidation type="list" allowBlank="1" showInputMessage="1" showErrorMessage="1" xr:uid="{90D1FEF9-9714-41C7-91FE-43E155EA1CBD}">
          <x14:formula1>
            <xm:f>BDD!AI3:AI4</xm:f>
          </x14:formula1>
          <xm:sqref>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8"/>
  </sheetPr>
  <dimension ref="A1:IU142"/>
  <sheetViews>
    <sheetView view="pageLayout" workbookViewId="0">
      <selection activeCell="B32" sqref="B32"/>
    </sheetView>
  </sheetViews>
  <sheetFormatPr defaultColWidth="17.7109375" defaultRowHeight="15" x14ac:dyDescent="0.25"/>
  <cols>
    <col min="1" max="1" width="3.28515625" style="1" bestFit="1" customWidth="1"/>
    <col min="2" max="2" width="7" style="513" customWidth="1"/>
    <col min="3" max="4" width="10" style="1" customWidth="1"/>
    <col min="5" max="5" width="23.42578125" style="1" bestFit="1" customWidth="1"/>
    <col min="6" max="6" width="16.140625" style="9" bestFit="1" customWidth="1"/>
    <col min="7" max="9" width="20.42578125" style="1" customWidth="1"/>
    <col min="10" max="10" width="17.42578125" style="1" customWidth="1"/>
    <col min="11" max="11" width="8.85546875" style="1" customWidth="1"/>
    <col min="12" max="12" width="10.28515625" style="1" customWidth="1"/>
    <col min="13" max="13" width="8.42578125" style="1" bestFit="1" customWidth="1"/>
    <col min="14" max="14" width="11.140625" style="1" customWidth="1"/>
    <col min="15" max="15" width="12.140625" style="1" customWidth="1"/>
    <col min="16" max="16" width="24.28515625" style="1" customWidth="1"/>
    <col min="17" max="17" width="21.42578125" style="1" bestFit="1" customWidth="1"/>
    <col min="18" max="18" width="15.42578125" style="1" customWidth="1"/>
    <col min="19" max="19" width="17.7109375" style="1" customWidth="1"/>
    <col min="20" max="20" width="20.140625" style="1" customWidth="1"/>
    <col min="21" max="21" width="22.28515625" style="1" customWidth="1"/>
    <col min="22" max="22" width="20.42578125" style="1" customWidth="1"/>
    <col min="23" max="23" width="22.7109375" style="1" customWidth="1"/>
    <col min="24" max="24" width="20.42578125" style="1" customWidth="1"/>
    <col min="25" max="25" width="22.7109375" style="1" customWidth="1"/>
    <col min="26" max="26" width="18.85546875" style="1" customWidth="1"/>
    <col min="27" max="27" width="21" style="1" customWidth="1"/>
    <col min="28" max="28" width="17" style="1" customWidth="1"/>
    <col min="29" max="29" width="19.140625" style="1" customWidth="1"/>
    <col min="30" max="30" width="16.28515625" style="1" customWidth="1"/>
    <col min="31" max="31" width="18.42578125" style="1" customWidth="1"/>
    <col min="32" max="32" width="16.28515625" style="1" customWidth="1"/>
    <col min="33" max="33" width="18.42578125" style="1" customWidth="1"/>
    <col min="34" max="34" width="30.140625" style="1" customWidth="1"/>
    <col min="35" max="35" width="32.28515625" style="1" customWidth="1"/>
    <col min="36" max="36" width="19.140625" style="1" customWidth="1"/>
    <col min="37" max="37" width="21.28515625" style="1" customWidth="1"/>
    <col min="38" max="38" width="22.7109375" style="1" customWidth="1"/>
    <col min="39" max="39" width="24.85546875" style="1" customWidth="1"/>
    <col min="40" max="40" width="15.42578125" style="1" customWidth="1"/>
    <col min="41" max="41" width="17.7109375" style="1" customWidth="1"/>
    <col min="42" max="42" width="20.28515625" style="1" customWidth="1"/>
    <col min="43" max="43" width="22.42578125" style="1" customWidth="1"/>
    <col min="44" max="44" width="21.85546875" style="1" customWidth="1"/>
    <col min="45" max="45" width="24" style="1" customWidth="1"/>
    <col min="46" max="46" width="20.140625" style="1" customWidth="1"/>
    <col min="47" max="47" width="22.28515625" style="1" customWidth="1"/>
    <col min="48" max="48" width="24" style="1" bestFit="1" customWidth="1"/>
    <col min="49" max="49" width="26.140625" style="1" bestFit="1" customWidth="1"/>
    <col min="50" max="50" width="19.28515625" style="1" customWidth="1"/>
    <col min="51" max="51" width="21.42578125" style="1" customWidth="1"/>
    <col min="52" max="52" width="23.28515625" style="1" bestFit="1" customWidth="1"/>
    <col min="53" max="53" width="25.42578125" style="1" customWidth="1"/>
    <col min="54" max="54" width="21.42578125" style="1" customWidth="1"/>
    <col min="55" max="55" width="23.7109375" style="1" bestFit="1" customWidth="1"/>
    <col min="56" max="56" width="20.85546875" style="1" customWidth="1"/>
    <col min="57" max="57" width="23" style="1" customWidth="1"/>
    <col min="58" max="58" width="21.85546875" style="1" customWidth="1"/>
    <col min="59" max="59" width="24" style="1" customWidth="1"/>
    <col min="60" max="60" width="21.7109375" style="1" customWidth="1"/>
    <col min="61" max="61" width="23.85546875" style="1" customWidth="1"/>
    <col min="62" max="62" width="23.140625" style="1" customWidth="1"/>
    <col min="63" max="63" width="25.28515625" style="1" bestFit="1" customWidth="1"/>
    <col min="64" max="64" width="20" style="1" customWidth="1"/>
    <col min="65" max="65" width="22.140625" style="1" customWidth="1"/>
    <col min="66" max="66" width="23.28515625" style="1" customWidth="1"/>
    <col min="67" max="67" width="25.42578125" style="1" customWidth="1"/>
    <col min="68" max="68" width="21.42578125" style="1" customWidth="1"/>
    <col min="69" max="69" width="23.7109375" style="1" customWidth="1"/>
    <col min="70" max="70" width="20.85546875" style="1" customWidth="1"/>
    <col min="71" max="71" width="23" style="1" customWidth="1"/>
    <col min="72" max="72" width="23.28515625" style="1" customWidth="1"/>
    <col min="73" max="73" width="25.28515625" style="1" customWidth="1"/>
    <col min="74" max="74" width="23.28515625" style="1" customWidth="1"/>
    <col min="75" max="75" width="25.28515625" style="1" bestFit="1" customWidth="1"/>
    <col min="76" max="76" width="21.42578125" style="1" customWidth="1"/>
    <col min="77" max="77" width="23.7109375" style="1" customWidth="1"/>
    <col min="78" max="78" width="20.7109375" style="1" customWidth="1"/>
    <col min="79" max="79" width="22.85546875" style="1" customWidth="1"/>
    <col min="80" max="80" width="22.7109375" style="1" customWidth="1"/>
    <col min="81" max="81" width="24.85546875" style="1" customWidth="1"/>
    <col min="82" max="82" width="22.7109375" style="1" customWidth="1"/>
    <col min="83" max="83" width="24.85546875" style="1" customWidth="1"/>
    <col min="84" max="84" width="22.28515625" style="1" customWidth="1"/>
    <col min="85" max="85" width="24.28515625" style="1" customWidth="1"/>
    <col min="86" max="86" width="11.28515625" style="1" customWidth="1"/>
    <col min="87" max="87" width="23.7109375" style="1" customWidth="1"/>
    <col min="88" max="88" width="25.85546875" style="1" customWidth="1"/>
    <col min="89" max="89" width="19" style="1" customWidth="1"/>
    <col min="90" max="90" width="21.140625" style="1" customWidth="1"/>
    <col min="91" max="91" width="20.28515625" style="1" customWidth="1"/>
    <col min="92" max="92" width="22.42578125" style="1" customWidth="1"/>
    <col min="93" max="93" width="19.28515625" style="1" customWidth="1"/>
    <col min="94" max="94" width="21.42578125" style="1" customWidth="1"/>
    <col min="95" max="95" width="20.28515625" style="1" customWidth="1"/>
    <col min="96" max="96" width="22.42578125" style="1" customWidth="1"/>
    <col min="97" max="97" width="17.85546875" style="1" customWidth="1"/>
    <col min="98" max="98" width="20" style="1" customWidth="1"/>
    <col min="99" max="99" width="18.85546875" style="1" customWidth="1"/>
    <col min="100" max="100" width="21" style="1" customWidth="1"/>
    <col min="101" max="101" width="20.42578125" style="1" customWidth="1"/>
    <col min="102" max="102" width="22.7109375" style="1" customWidth="1"/>
    <col min="103" max="103" width="22.28515625" style="1" customWidth="1"/>
    <col min="104" max="104" width="24.42578125" style="1" customWidth="1"/>
    <col min="105" max="105" width="22.7109375" style="1" customWidth="1"/>
    <col min="106" max="106" width="24.85546875" style="1" customWidth="1"/>
    <col min="107" max="107" width="20.7109375" style="1" customWidth="1"/>
    <col min="108" max="108" width="22.85546875" style="1" customWidth="1"/>
    <col min="109" max="109" width="27" style="1" customWidth="1"/>
    <col min="110" max="110" width="29.140625" style="1" customWidth="1"/>
    <col min="111" max="111" width="22.28515625" style="1" bestFit="1" customWidth="1"/>
    <col min="112" max="112" width="24.42578125" style="1" customWidth="1"/>
    <col min="113" max="113" width="21.42578125" style="1" customWidth="1"/>
    <col min="114" max="114" width="23.7109375" style="1" bestFit="1" customWidth="1"/>
    <col min="115" max="115" width="21.42578125" style="1" customWidth="1"/>
    <col min="116" max="116" width="23.7109375" style="1" customWidth="1"/>
    <col min="117" max="117" width="17.28515625" style="1" customWidth="1"/>
    <col min="118" max="118" width="19.42578125" style="1" customWidth="1"/>
    <col min="119" max="119" width="17.28515625" style="1" customWidth="1"/>
    <col min="120" max="120" width="19.42578125" style="1" customWidth="1"/>
    <col min="121" max="121" width="22.140625" style="1" customWidth="1"/>
    <col min="122" max="122" width="24.28515625" style="1" customWidth="1"/>
    <col min="123" max="123" width="19.28515625" style="1" customWidth="1"/>
    <col min="124" max="124" width="21.42578125" style="1" customWidth="1"/>
    <col min="125" max="125" width="15.42578125" style="1" customWidth="1"/>
    <col min="126" max="126" width="17.7109375" style="1" customWidth="1"/>
    <col min="127" max="127" width="20.140625" style="1" customWidth="1"/>
    <col min="128" max="128" width="22.28515625" style="1" bestFit="1" customWidth="1"/>
    <col min="129" max="129" width="20.42578125" style="1" customWidth="1"/>
    <col min="130" max="130" width="22.7109375" style="1" bestFit="1" customWidth="1"/>
    <col min="131" max="131" width="20.42578125" style="1" customWidth="1"/>
    <col min="132" max="132" width="22.7109375" style="1" customWidth="1"/>
    <col min="133" max="133" width="18.85546875" style="1" customWidth="1"/>
    <col min="134" max="134" width="21" style="1" customWidth="1"/>
    <col min="135" max="135" width="17" style="1" customWidth="1"/>
    <col min="136" max="136" width="19.140625" style="1" customWidth="1"/>
    <col min="137" max="137" width="16.28515625" style="1" customWidth="1"/>
    <col min="138" max="138" width="18.42578125" style="1" customWidth="1"/>
    <col min="139" max="139" width="16.28515625" style="1" customWidth="1"/>
    <col min="140" max="140" width="18.42578125" style="1" customWidth="1"/>
    <col min="141" max="141" width="30.140625" style="1" bestFit="1" customWidth="1"/>
    <col min="142" max="142" width="32.28515625" style="1" customWidth="1"/>
    <col min="143" max="143" width="19.140625" style="1" customWidth="1"/>
    <col min="144" max="144" width="21.28515625" style="1" bestFit="1" customWidth="1"/>
    <col min="145" max="145" width="22.7109375" style="1" bestFit="1" customWidth="1"/>
    <col min="146" max="146" width="24.85546875" style="1" customWidth="1"/>
    <col min="147" max="147" width="15.42578125" style="1" customWidth="1"/>
    <col min="148" max="148" width="17.7109375" style="1" customWidth="1"/>
    <col min="149" max="149" width="20.28515625" style="1" customWidth="1"/>
    <col min="150" max="150" width="22.42578125" style="1" customWidth="1"/>
    <col min="151" max="151" width="21.85546875" style="1" customWidth="1"/>
    <col min="152" max="152" width="24" style="1" bestFit="1" customWidth="1"/>
    <col min="153" max="153" width="20.140625" style="1" customWidth="1"/>
    <col min="154" max="154" width="22.28515625" style="1" bestFit="1" customWidth="1"/>
    <col min="155" max="155" width="24" style="1" bestFit="1" customWidth="1"/>
    <col min="156" max="156" width="26.140625" style="1" customWidth="1"/>
    <col min="157" max="157" width="19.28515625" style="1" customWidth="1"/>
    <col min="158" max="158" width="21.42578125" style="1" customWidth="1"/>
    <col min="159" max="159" width="23.28515625" style="1" customWidth="1"/>
    <col min="160" max="160" width="25.42578125" style="1" bestFit="1" customWidth="1"/>
    <col min="161" max="161" width="21.42578125" style="1" customWidth="1"/>
    <col min="162" max="162" width="23.7109375" style="1" customWidth="1"/>
    <col min="163" max="163" width="20.85546875" style="1" customWidth="1"/>
    <col min="164" max="164" width="23" style="1" customWidth="1"/>
    <col min="165" max="165" width="21.85546875" style="1" bestFit="1" customWidth="1"/>
    <col min="166" max="166" width="24" style="1" customWidth="1"/>
    <col min="167" max="167" width="21.7109375" style="1" bestFit="1" customWidth="1"/>
    <col min="168" max="168" width="23.85546875" style="1" customWidth="1"/>
    <col min="169" max="169" width="23.140625" style="1" bestFit="1" customWidth="1"/>
    <col min="170" max="170" width="25.28515625" style="1" customWidth="1"/>
    <col min="171" max="171" width="20" style="1" customWidth="1"/>
    <col min="172" max="172" width="22.140625" style="1" customWidth="1"/>
    <col min="173" max="173" width="23.28515625" style="1" customWidth="1"/>
    <col min="174" max="174" width="25.42578125" style="1" bestFit="1" customWidth="1"/>
    <col min="175" max="175" width="21.42578125" style="1" customWidth="1"/>
    <col min="176" max="176" width="23.7109375" style="1" customWidth="1"/>
    <col min="177" max="177" width="20.85546875" style="1" bestFit="1" customWidth="1"/>
    <col min="178" max="178" width="23" style="1" bestFit="1" customWidth="1"/>
    <col min="179" max="179" width="23.28515625" style="1" bestFit="1" customWidth="1"/>
    <col min="180" max="180" width="25.28515625" style="1" bestFit="1" customWidth="1"/>
    <col min="181" max="181" width="23.28515625" style="1" customWidth="1"/>
    <col min="182" max="182" width="25.28515625" style="1" bestFit="1" customWidth="1"/>
    <col min="183" max="183" width="21.42578125" style="1" customWidth="1"/>
    <col min="184" max="184" width="23.7109375" style="1" bestFit="1" customWidth="1"/>
    <col min="185" max="185" width="20.7109375" style="1" customWidth="1"/>
    <col min="186" max="186" width="22.85546875" style="1" customWidth="1"/>
    <col min="187" max="187" width="22.7109375" style="1" customWidth="1"/>
    <col min="188" max="188" width="24.85546875" style="1" bestFit="1" customWidth="1"/>
    <col min="189" max="189" width="22.7109375" style="1" customWidth="1"/>
    <col min="190" max="190" width="24.85546875" style="1" bestFit="1" customWidth="1"/>
    <col min="191" max="191" width="22.28515625" style="1" bestFit="1" customWidth="1"/>
    <col min="192" max="192" width="24.28515625" style="1" bestFit="1" customWidth="1"/>
    <col min="193" max="193" width="7.28515625" style="1" customWidth="1"/>
    <col min="194" max="194" width="23.7109375" style="1" bestFit="1" customWidth="1"/>
    <col min="195" max="195" width="25.85546875" style="1" bestFit="1" customWidth="1"/>
    <col min="196" max="196" width="19" style="1" bestFit="1" customWidth="1"/>
    <col min="197" max="197" width="21.140625" style="1" bestFit="1" customWidth="1"/>
    <col min="198" max="198" width="20.28515625" style="1" customWidth="1"/>
    <col min="199" max="199" width="22.42578125" style="1" customWidth="1"/>
    <col min="200" max="200" width="19.28515625" style="1" customWidth="1"/>
    <col min="201" max="201" width="21.42578125" style="1" customWidth="1"/>
    <col min="202" max="202" width="20.28515625" style="1" bestFit="1" customWidth="1"/>
    <col min="203" max="203" width="22.42578125" style="1" bestFit="1" customWidth="1"/>
    <col min="204" max="204" width="17.85546875" style="1" customWidth="1"/>
    <col min="205" max="205" width="20" style="1" customWidth="1"/>
    <col min="206" max="206" width="18.85546875" style="1" customWidth="1"/>
    <col min="207" max="207" width="21" style="1" bestFit="1" customWidth="1"/>
    <col min="208" max="208" width="20.42578125" style="1" customWidth="1"/>
    <col min="209" max="209" width="22.7109375" style="1" customWidth="1"/>
    <col min="210" max="210" width="22.28515625" style="1" customWidth="1"/>
    <col min="211" max="211" width="24.42578125" style="1" customWidth="1"/>
    <col min="212" max="212" width="22.7109375" style="1" bestFit="1" customWidth="1"/>
    <col min="213" max="213" width="24.85546875" style="1" bestFit="1" customWidth="1"/>
    <col min="214" max="214" width="20.7109375" style="1" bestFit="1" customWidth="1"/>
    <col min="215" max="215" width="22.85546875" style="1" bestFit="1" customWidth="1"/>
    <col min="216" max="216" width="27" style="1" customWidth="1"/>
    <col min="217" max="217" width="29.140625" style="1" bestFit="1" customWidth="1"/>
    <col min="218" max="218" width="22.28515625" style="1" customWidth="1"/>
    <col min="219" max="219" width="24.42578125" style="1" customWidth="1"/>
    <col min="220" max="220" width="21.42578125" style="1" bestFit="1" customWidth="1"/>
    <col min="221" max="221" width="23.7109375" style="1" bestFit="1" customWidth="1"/>
    <col min="222" max="222" width="21.42578125" style="1" bestFit="1" customWidth="1"/>
    <col min="223" max="223" width="23.7109375" style="1" bestFit="1" customWidth="1"/>
    <col min="224" max="224" width="17.28515625" style="1" customWidth="1"/>
    <col min="225" max="225" width="19.42578125" style="1" customWidth="1"/>
    <col min="226" max="226" width="17.28515625" style="1" customWidth="1"/>
    <col min="227" max="227" width="19.42578125" style="1" customWidth="1"/>
    <col min="228" max="228" width="22.140625" style="1" customWidth="1"/>
    <col min="229" max="229" width="24.28515625" style="1" bestFit="1" customWidth="1"/>
    <col min="230" max="230" width="19.28515625" style="1" customWidth="1"/>
    <col min="231" max="231" width="21.42578125" style="1" customWidth="1"/>
    <col min="232" max="232" width="15.42578125" style="1" customWidth="1"/>
    <col min="233" max="233" width="17.7109375" style="1" customWidth="1"/>
    <col min="234" max="234" width="20.140625" style="1" customWidth="1"/>
    <col min="235" max="235" width="22.28515625" style="1" customWidth="1"/>
    <col min="236" max="236" width="20.42578125" style="1" customWidth="1"/>
    <col min="237" max="237" width="22.7109375" style="1" customWidth="1"/>
    <col min="238" max="238" width="20.42578125" style="1" customWidth="1"/>
    <col min="239" max="239" width="22.7109375" style="1" customWidth="1"/>
    <col min="240" max="240" width="18.85546875" style="1" customWidth="1"/>
    <col min="241" max="241" width="21" style="1" customWidth="1"/>
    <col min="242" max="242" width="17" style="1" customWidth="1"/>
    <col min="243" max="243" width="19.140625" style="1" customWidth="1"/>
    <col min="244" max="244" width="16.28515625" style="1" customWidth="1"/>
    <col min="245" max="245" width="18.42578125" style="1" customWidth="1"/>
    <col min="246" max="246" width="16.28515625" style="1" customWidth="1"/>
    <col min="247" max="247" width="18.42578125" style="1" customWidth="1"/>
    <col min="248" max="248" width="30.140625" style="1" bestFit="1" customWidth="1"/>
    <col min="249" max="249" width="32.28515625" style="1" bestFit="1" customWidth="1"/>
    <col min="250" max="250" width="19.140625" style="1" customWidth="1"/>
    <col min="251" max="251" width="21.28515625" style="1" customWidth="1"/>
    <col min="252" max="252" width="22.7109375" style="1" bestFit="1" customWidth="1"/>
    <col min="253" max="253" width="24.85546875" style="1" bestFit="1" customWidth="1"/>
    <col min="254" max="254" width="15.42578125" style="1" customWidth="1"/>
    <col min="255" max="16384" width="17.7109375" style="1"/>
  </cols>
  <sheetData>
    <row r="1" spans="1:17" ht="12.75" customHeight="1" x14ac:dyDescent="0.25">
      <c r="A1" s="656"/>
      <c r="B1" s="657"/>
      <c r="C1" s="657"/>
      <c r="D1" s="657"/>
      <c r="E1" s="658"/>
      <c r="F1" s="666" t="s">
        <v>101</v>
      </c>
      <c r="G1" s="667"/>
      <c r="H1" s="667"/>
      <c r="I1" s="668"/>
      <c r="J1" s="644" t="s">
        <v>17</v>
      </c>
      <c r="K1" s="645"/>
      <c r="L1" s="646"/>
      <c r="M1" s="130" t="s">
        <v>15</v>
      </c>
      <c r="N1" s="131">
        <f>'Doors order'!N1</f>
        <v>1</v>
      </c>
      <c r="O1" s="32"/>
    </row>
    <row r="2" spans="1:17" ht="12.75" customHeight="1" x14ac:dyDescent="0.25">
      <c r="A2" s="659"/>
      <c r="B2" s="686"/>
      <c r="C2" s="686"/>
      <c r="D2" s="686"/>
      <c r="E2" s="661"/>
      <c r="F2" s="669"/>
      <c r="G2" s="687"/>
      <c r="H2" s="687"/>
      <c r="I2" s="671"/>
      <c r="J2" s="642" t="s">
        <v>77</v>
      </c>
      <c r="K2" s="688" t="str">
        <f>IF('Doors order'!K2:L3="","",'Doors order'!K2:L3)</f>
        <v/>
      </c>
      <c r="L2" s="689"/>
      <c r="M2" s="146" t="s">
        <v>12</v>
      </c>
      <c r="N2" s="512">
        <f>'Doors order'!N2</f>
        <v>44041</v>
      </c>
      <c r="O2" s="32"/>
    </row>
    <row r="3" spans="1:17" ht="12.75" customHeight="1" x14ac:dyDescent="0.25">
      <c r="A3" s="659"/>
      <c r="B3" s="686"/>
      <c r="C3" s="686"/>
      <c r="D3" s="686"/>
      <c r="E3" s="661"/>
      <c r="F3" s="669"/>
      <c r="G3" s="687"/>
      <c r="H3" s="687"/>
      <c r="I3" s="671"/>
      <c r="J3" s="642"/>
      <c r="K3" s="688"/>
      <c r="L3" s="689"/>
      <c r="M3" s="146" t="s">
        <v>14</v>
      </c>
      <c r="N3" s="333">
        <f>'Doors order'!N3</f>
        <v>3</v>
      </c>
      <c r="O3" s="32"/>
    </row>
    <row r="4" spans="1:17" ht="12.75" customHeight="1" x14ac:dyDescent="0.25">
      <c r="A4" s="659"/>
      <c r="B4" s="686"/>
      <c r="C4" s="686"/>
      <c r="D4" s="686"/>
      <c r="E4" s="661"/>
      <c r="F4" s="669"/>
      <c r="G4" s="687"/>
      <c r="H4" s="687"/>
      <c r="I4" s="671"/>
      <c r="J4" s="654" t="s">
        <v>102</v>
      </c>
      <c r="K4" s="690">
        <f>IF('Doors order'!K4="","",'Doors order'!K4)</f>
        <v>10</v>
      </c>
      <c r="L4" s="691"/>
      <c r="M4" s="146" t="s">
        <v>100</v>
      </c>
      <c r="N4" s="333" t="str">
        <f>'Doors order'!N4</f>
        <v>MS</v>
      </c>
      <c r="O4" s="32"/>
    </row>
    <row r="5" spans="1:17" ht="12.75" customHeight="1" thickBot="1" x14ac:dyDescent="0.3">
      <c r="A5" s="662"/>
      <c r="B5" s="663"/>
      <c r="C5" s="663"/>
      <c r="D5" s="663"/>
      <c r="E5" s="664"/>
      <c r="F5" s="672"/>
      <c r="G5" s="673"/>
      <c r="H5" s="673"/>
      <c r="I5" s="674"/>
      <c r="J5" s="655"/>
      <c r="K5" s="692"/>
      <c r="L5" s="693"/>
      <c r="M5" s="147" t="s">
        <v>89</v>
      </c>
      <c r="N5" s="334" t="str">
        <f>'Doors order'!N5</f>
        <v>MR</v>
      </c>
      <c r="O5" s="32"/>
    </row>
    <row r="6" spans="1:17" ht="15" customHeight="1" x14ac:dyDescent="0.25">
      <c r="A6" s="665" t="s">
        <v>0</v>
      </c>
      <c r="B6" s="653"/>
      <c r="C6" s="653"/>
      <c r="D6" s="641"/>
      <c r="E6" s="640" t="s">
        <v>1</v>
      </c>
      <c r="F6" s="641"/>
      <c r="G6" s="148" t="s">
        <v>216</v>
      </c>
      <c r="H6" s="640" t="s">
        <v>2</v>
      </c>
      <c r="I6" s="653"/>
      <c r="J6" s="641"/>
      <c r="K6" s="640" t="s">
        <v>18</v>
      </c>
      <c r="L6" s="641"/>
      <c r="M6" s="684"/>
      <c r="N6" s="129" t="s">
        <v>103</v>
      </c>
      <c r="O6" s="32"/>
    </row>
    <row r="7" spans="1:17" ht="21" customHeight="1" thickBot="1" x14ac:dyDescent="0.3">
      <c r="A7" s="694" t="str">
        <f>IF('Doors order'!A7:D7="","",'Doors order'!A7:D7)</f>
        <v/>
      </c>
      <c r="B7" s="695"/>
      <c r="C7" s="695"/>
      <c r="D7" s="696"/>
      <c r="E7" s="697" t="str">
        <f>IF('Doors order'!E7:F7="","",'Doors order'!E7:F7)</f>
        <v/>
      </c>
      <c r="F7" s="698"/>
      <c r="G7" s="456" t="str">
        <f>IF('Doors order'!G7="","",'Doors order'!G7)</f>
        <v/>
      </c>
      <c r="H7" s="699" t="str">
        <f>IF('Doors order'!H7="","",'Doors order'!H7)</f>
        <v/>
      </c>
      <c r="I7" s="700"/>
      <c r="J7" s="701"/>
      <c r="K7" s="606"/>
      <c r="L7" s="607"/>
      <c r="M7" s="685"/>
      <c r="N7" s="88" t="s">
        <v>104</v>
      </c>
      <c r="O7" s="32"/>
    </row>
    <row r="8" spans="1:17" s="10" customFormat="1" ht="3" customHeight="1" thickBot="1" x14ac:dyDescent="0.3">
      <c r="A8" s="32"/>
      <c r="B8" s="81"/>
      <c r="C8" s="28"/>
      <c r="D8" s="28"/>
      <c r="E8" s="27"/>
      <c r="F8" s="27"/>
      <c r="G8" s="28"/>
      <c r="H8" s="326"/>
      <c r="I8" s="326"/>
      <c r="J8" s="326"/>
      <c r="K8" s="25"/>
      <c r="L8" s="25"/>
      <c r="M8" s="25"/>
      <c r="N8" s="25"/>
      <c r="O8" s="32"/>
    </row>
    <row r="9" spans="1:17" ht="24" customHeight="1" x14ac:dyDescent="0.25">
      <c r="A9" s="329" t="s">
        <v>213</v>
      </c>
      <c r="B9" s="51" t="s">
        <v>13</v>
      </c>
      <c r="C9" s="51" t="s">
        <v>3</v>
      </c>
      <c r="D9" s="51" t="s">
        <v>4</v>
      </c>
      <c r="E9" s="51" t="s">
        <v>22</v>
      </c>
      <c r="F9" s="51" t="s">
        <v>322</v>
      </c>
      <c r="G9" s="681" t="s">
        <v>1028</v>
      </c>
      <c r="H9" s="682"/>
      <c r="I9" s="682"/>
      <c r="J9" s="683"/>
      <c r="K9" s="51" t="s">
        <v>78</v>
      </c>
      <c r="L9" s="51" t="s">
        <v>1030</v>
      </c>
      <c r="M9" s="51" t="s">
        <v>214</v>
      </c>
      <c r="N9" s="52" t="s">
        <v>59</v>
      </c>
      <c r="O9" s="32"/>
    </row>
    <row r="10" spans="1:17" ht="20.25" customHeight="1" x14ac:dyDescent="0.25">
      <c r="A10" s="330">
        <v>1</v>
      </c>
      <c r="B10" s="515"/>
      <c r="C10" s="515"/>
      <c r="D10" s="515"/>
      <c r="E10" s="516"/>
      <c r="F10" s="419"/>
      <c r="G10" s="678"/>
      <c r="H10" s="679"/>
      <c r="I10" s="679"/>
      <c r="J10" s="680"/>
      <c r="K10" s="553" t="str">
        <f>IF(C10=0,"",IF($N$7="Inch",IF(C10*D10/144&lt;BDD!$AH$21,B10*BDD!$AH$21,B10*(C10*D10/144)),IF(C10*D10&lt;BDD!$AI$21,B10*BDD!$AH$21,B10*(C10*D10*0.00001076391))))</f>
        <v/>
      </c>
      <c r="L10" s="554" t="str">
        <f>IF(F10="","",IF($M$7="yes",1.3*(IF(F10="DOOR",VLOOKUP(E10,BDD!B:T,14,0), IF(F10="DOOR",VLOOKUP(E10,BDD!B:T,13,0), IF(F10="DOOR",VLOOKUP(E10,BDD!B:T,12,0), IF(F10="DRAWER",VLOOKUP(E10,BDD!B:T,15,0), IF(F10="DRAWER",VLOOKUP(E10,BDD!B:T,16,0),”NOT AV.”)))))),(IF(F10="DOOR",VLOOKUP(E10,BDD!B:T,14,0), IF(F10="DOOR",VLOOKUP(E10,BDD!B:T,13,0), IF(F10="DOOR",VLOOKUP(E10,BDD!B:T,12,0), IF(F10="DRAWER",VLOOKUP(E10,BDD!B:T,15,0), IF(F10="DRAWER",VLOOKUP(E10,BDD!B:T,16,0),”NOT AV.”))))))))</f>
        <v/>
      </c>
      <c r="M10" s="555" t="str">
        <f>IF(L10="","",IF(VLOOKUP(E10,BDD!B:T,17,0)="luxe",$N$43,$N$44))</f>
        <v/>
      </c>
      <c r="N10" s="119" t="str">
        <f>IF(L10="","",(L10*K10)*(1-M10))</f>
        <v/>
      </c>
      <c r="O10" s="149" t="str">
        <f>IF(E10="","",IF(VLOOKUP(E10,BDD!$B$8:$R$100,7,0)="yes","","*"))</f>
        <v/>
      </c>
      <c r="Q10"/>
    </row>
    <row r="11" spans="1:17" ht="20.25" customHeight="1" x14ac:dyDescent="0.25">
      <c r="A11" s="330">
        <v>2</v>
      </c>
      <c r="B11" s="515"/>
      <c r="C11" s="515"/>
      <c r="D11" s="515"/>
      <c r="E11" s="516"/>
      <c r="F11" s="419"/>
      <c r="G11" s="678"/>
      <c r="H11" s="679" t="str">
        <f>IF($E11="","",VLOOKUP(VLOOKUP($E11,BDD!$AV$25:$AX$51,3,0),BDD!$AT:$AU,2,0))</f>
        <v/>
      </c>
      <c r="I11" s="679" t="str">
        <f>IF($E11="","",VLOOKUP(VLOOKUP($E11,BDD!$AV$25:$AX$51,3,0),BDD!$AT:$AU,2,0))</f>
        <v/>
      </c>
      <c r="J11" s="680" t="str">
        <f>IF($E11="","",VLOOKUP(VLOOKUP($E11,BDD!$AV$25:$AX$51,3,0),BDD!$AT:$AU,2,0))</f>
        <v/>
      </c>
      <c r="K11" s="553" t="str">
        <f>IF(C11=0,"",IF($N$7="Inch",IF(C11*D11/144&lt;BDD!$AH$21,B11*BDD!$AH$21,B11*(C11*D11/144)),IF(C11*D11&lt;BDD!$AI$21,B11*BDD!$AH$21,B11*(C11*D11*0.00001076391))))</f>
        <v/>
      </c>
      <c r="L11" s="554" t="str">
        <f>IF(F11="","",IF($M$7="yes",1.3*(IF(F11="DOOR",VLOOKUP(E11,BDD!B:T,14,0), IF(F11="DOOR",VLOOKUP(E11,BDD!B:T,13,0), IF(F11="DOOR",VLOOKUP(E11,BDD!B:T,12,0), IF(F11="DRAWER",VLOOKUP(E11,BDD!B:T,15,0), IF(F11="DRAWER",VLOOKUP(E11,BDD!B:T,16,0),”NOT AV.”)))))),(IF(F11="DOOR",VLOOKUP(E11,BDD!B:T,14,0), IF(F11="DOOR",VLOOKUP(E11,BDD!B:T,13,0), IF(F11="DOOR",VLOOKUP(E11,BDD!B:T,12,0), IF(F11="DRAWER",VLOOKUP(E11,BDD!B:T,15,0), IF(F11="DRAWER",VLOOKUP(E11,BDD!B:T,16,0),”NOT AV.”))))))))</f>
        <v/>
      </c>
      <c r="M11" s="555" t="str">
        <f>IF(L11="","",IF(VLOOKUP(E11,BDD!B:T,17,0)="luxe",$N$43,$N$44))</f>
        <v/>
      </c>
      <c r="N11" s="119" t="str">
        <f t="shared" ref="N11:N39" si="0">IF(L11="","",(L11*K11)*(1-M11))</f>
        <v/>
      </c>
      <c r="O11" s="149" t="str">
        <f>IF(E11="","",IF(VLOOKUP(E11,BDD!$B$8:$R$100,7,0)="yes","","*"))</f>
        <v/>
      </c>
      <c r="Q11"/>
    </row>
    <row r="12" spans="1:17" ht="20.25" customHeight="1" x14ac:dyDescent="0.25">
      <c r="A12" s="330">
        <v>3</v>
      </c>
      <c r="B12" s="515"/>
      <c r="C12" s="515"/>
      <c r="D12" s="515"/>
      <c r="E12" s="516"/>
      <c r="F12" s="419"/>
      <c r="G12" s="678"/>
      <c r="H12" s="679" t="str">
        <f>IF($E12="","",VLOOKUP(VLOOKUP($E12,BDD!$AV$25:$AX$51,3,0),BDD!$AT:$AU,2,0))</f>
        <v/>
      </c>
      <c r="I12" s="679" t="str">
        <f>IF($E12="","",VLOOKUP(VLOOKUP($E12,BDD!$AV$25:$AX$51,3,0),BDD!$AT:$AU,2,0))</f>
        <v/>
      </c>
      <c r="J12" s="680" t="str">
        <f>IF($E12="","",VLOOKUP(VLOOKUP($E12,BDD!$AV$25:$AX$51,3,0),BDD!$AT:$AU,2,0))</f>
        <v/>
      </c>
      <c r="K12" s="553" t="str">
        <f>IF(C12=0,"",IF($N$7="Inch",IF(C12*D12/144&lt;BDD!$AH$21,B12*BDD!$AH$21,B12*(C12*D12/144)),IF(C12*D12&lt;BDD!$AI$21,B12*BDD!$AH$21,B12*(C12*D12*0.00001076391))))</f>
        <v/>
      </c>
      <c r="L12" s="554" t="str">
        <f>IF(F12="","",IF($M$7="yes",1.3*(IF(F12="DOOR",VLOOKUP(E12,BDD!B:T,14,0), IF(F12="DOOR",VLOOKUP(E12,BDD!B:T,13,0), IF(F12="DOOR",VLOOKUP(E12,BDD!B:T,12,0), IF(F12="DRAWER",VLOOKUP(E12,BDD!B:T,15,0), IF(F12="DRAWER",VLOOKUP(E12,BDD!B:T,16,0),”NOT AV.”)))))),(IF(F12="DOOR",VLOOKUP(E12,BDD!B:T,14,0), IF(F12="DOOR",VLOOKUP(E12,BDD!B:T,13,0), IF(F12="DOOR",VLOOKUP(E12,BDD!B:T,12,0), IF(F12="DRAWER",VLOOKUP(E12,BDD!B:T,15,0), IF(F12="DRAWER",VLOOKUP(E12,BDD!B:T,16,0),”NOT AV.”))))))))</f>
        <v/>
      </c>
      <c r="M12" s="555" t="str">
        <f>IF(L12="","",IF(VLOOKUP(E12,BDD!B:T,17,0)="luxe",$N$43,$N$44))</f>
        <v/>
      </c>
      <c r="N12" s="119" t="str">
        <f t="shared" si="0"/>
        <v/>
      </c>
      <c r="O12" s="149" t="str">
        <f>IF(E12="","",IF(VLOOKUP(E12,BDD!$B$8:$R$100,7,0)="yes","","*"))</f>
        <v/>
      </c>
      <c r="Q12"/>
    </row>
    <row r="13" spans="1:17" ht="20.25" customHeight="1" x14ac:dyDescent="0.25">
      <c r="A13" s="330">
        <v>4</v>
      </c>
      <c r="B13" s="515"/>
      <c r="C13" s="517"/>
      <c r="D13" s="517"/>
      <c r="E13" s="516"/>
      <c r="F13" s="419"/>
      <c r="G13" s="678"/>
      <c r="H13" s="679" t="str">
        <f>IF($E13="","",VLOOKUP(VLOOKUP($E13,BDD!$AV$25:$AX$51,3,0),BDD!$AT:$AU,2,0))</f>
        <v/>
      </c>
      <c r="I13" s="679" t="str">
        <f>IF($E13="","",VLOOKUP(VLOOKUP($E13,BDD!$AV$25:$AX$51,3,0),BDD!$AT:$AU,2,0))</f>
        <v/>
      </c>
      <c r="J13" s="680" t="str">
        <f>IF($E13="","",VLOOKUP(VLOOKUP($E13,BDD!$AV$25:$AX$51,3,0),BDD!$AT:$AU,2,0))</f>
        <v/>
      </c>
      <c r="K13" s="553" t="str">
        <f>IF(C13=0,"",IF($N$7="Inch",IF(C13*D13/144&lt;BDD!$AH$21,B13*BDD!$AH$21,B13*(C13*D13/144)),IF(C13*D13&lt;BDD!$AI$21,B13*BDD!$AH$21,B13*(C13*D13*0.00001076391))))</f>
        <v/>
      </c>
      <c r="L13" s="554" t="str">
        <f>IF(F13="","",IF($M$7="yes",1.3*(IF(F13="DOOR",VLOOKUP(E13,BDD!B:T,14,0), IF(F13="DOOR",VLOOKUP(E13,BDD!B:T,13,0), IF(F13="DOOR",VLOOKUP(E13,BDD!B:T,12,0), IF(F13="DRAWER",VLOOKUP(E13,BDD!B:T,15,0), IF(F13="DRAWER",VLOOKUP(E13,BDD!B:T,16,0),”NOT AV.”)))))),(IF(F13="DOOR",VLOOKUP(E13,BDD!B:T,14,0), IF(F13="DOOR",VLOOKUP(E13,BDD!B:T,13,0), IF(F13="DOOR",VLOOKUP(E13,BDD!B:T,12,0), IF(F13="DRAWER",VLOOKUP(E13,BDD!B:T,15,0), IF(F13="DRAWER",VLOOKUP(E13,BDD!B:T,16,0),”NOT AV.”))))))))</f>
        <v/>
      </c>
      <c r="M13" s="555" t="str">
        <f>IF(L13="","",IF(VLOOKUP(E13,BDD!B:T,17,0)="luxe",$N$43,$N$44))</f>
        <v/>
      </c>
      <c r="N13" s="119" t="str">
        <f t="shared" si="0"/>
        <v/>
      </c>
      <c r="O13" s="149" t="str">
        <f>IF(E13="","",IF(VLOOKUP(E13,BDD!$B$8:$R$100,7,0)="yes","","*"))</f>
        <v/>
      </c>
      <c r="Q13"/>
    </row>
    <row r="14" spans="1:17" ht="20.25" customHeight="1" x14ac:dyDescent="0.25">
      <c r="A14" s="330">
        <v>5</v>
      </c>
      <c r="B14" s="515"/>
      <c r="C14" s="517"/>
      <c r="D14" s="517"/>
      <c r="E14" s="516"/>
      <c r="F14" s="419"/>
      <c r="G14" s="678"/>
      <c r="H14" s="679" t="str">
        <f>IF($E14="","",VLOOKUP(VLOOKUP($E14,BDD!$AV$25:$AX$51,3,0),BDD!$AT:$AU,2,0))</f>
        <v/>
      </c>
      <c r="I14" s="679" t="str">
        <f>IF($E14="","",VLOOKUP(VLOOKUP($E14,BDD!$AV$25:$AX$51,3,0),BDD!$AT:$AU,2,0))</f>
        <v/>
      </c>
      <c r="J14" s="680" t="str">
        <f>IF($E14="","",VLOOKUP(VLOOKUP($E14,BDD!$AV$25:$AX$51,3,0),BDD!$AT:$AU,2,0))</f>
        <v/>
      </c>
      <c r="K14" s="553" t="str">
        <f>IF(C14=0,"",IF($N$7="Inch",IF(C14*D14/144&lt;BDD!$AH$21,B14*BDD!$AH$21,B14*(C14*D14/144)),IF(C14*D14&lt;BDD!$AI$21,B14*BDD!$AH$21,B14*(C14*D14*0.00001076391))))</f>
        <v/>
      </c>
      <c r="L14" s="554" t="str">
        <f>IF(F14="","",IF($M$7="yes",1.3*(IF(F14="DOOR",VLOOKUP(E14,BDD!B:T,14,0), IF(F14="DOOR",VLOOKUP(E14,BDD!B:T,13,0), IF(F14="DOOR",VLOOKUP(E14,BDD!B:T,12,0), IF(F14="DRAWER",VLOOKUP(E14,BDD!B:T,15,0), IF(F14="DRAWER",VLOOKUP(E14,BDD!B:T,16,0),”NOT AV.”)))))),(IF(F14="DOOR",VLOOKUP(E14,BDD!B:T,14,0), IF(F14="DOOR",VLOOKUP(E14,BDD!B:T,13,0), IF(F14="DOOR",VLOOKUP(E14,BDD!B:T,12,0), IF(F14="DRAWER",VLOOKUP(E14,BDD!B:T,15,0), IF(F14="DRAWER",VLOOKUP(E14,BDD!B:T,16,0),”NOT AV.”))))))))</f>
        <v/>
      </c>
      <c r="M14" s="555" t="str">
        <f>IF(L14="","",IF(VLOOKUP(E14,BDD!B:T,17,0)="luxe",$N$43,$N$44))</f>
        <v/>
      </c>
      <c r="N14" s="119" t="str">
        <f t="shared" si="0"/>
        <v/>
      </c>
      <c r="O14" s="149" t="str">
        <f>IF(E14="","",IF(VLOOKUP(E14,BDD!$B$8:$R$100,7,0)="yes","","*"))</f>
        <v/>
      </c>
      <c r="Q14"/>
    </row>
    <row r="15" spans="1:17" ht="20.25" customHeight="1" x14ac:dyDescent="0.25">
      <c r="A15" s="330">
        <v>6</v>
      </c>
      <c r="B15" s="515"/>
      <c r="C15" s="517"/>
      <c r="D15" s="517"/>
      <c r="E15" s="516"/>
      <c r="F15" s="419"/>
      <c r="G15" s="678"/>
      <c r="H15" s="679" t="str">
        <f>IF($E15="","",VLOOKUP(VLOOKUP($E15,BDD!$AV$25:$AX$51,3,0),BDD!$AT:$AU,2,0))</f>
        <v/>
      </c>
      <c r="I15" s="679" t="str">
        <f>IF($E15="","",VLOOKUP(VLOOKUP($E15,BDD!$AV$25:$AX$51,3,0),BDD!$AT:$AU,2,0))</f>
        <v/>
      </c>
      <c r="J15" s="680" t="str">
        <f>IF($E15="","",VLOOKUP(VLOOKUP($E15,BDD!$AV$25:$AX$51,3,0),BDD!$AT:$AU,2,0))</f>
        <v/>
      </c>
      <c r="K15" s="553" t="str">
        <f>IF(C15=0,"",IF($N$7="Inch",IF(C15*D15/144&lt;BDD!$AH$21,B15*BDD!$AH$21,B15*(C15*D15/144)),IF(C15*D15&lt;BDD!$AI$21,B15*BDD!$AH$21,B15*(C15*D15*0.00001076391))))</f>
        <v/>
      </c>
      <c r="L15" s="554" t="str">
        <f>IF(F15="","",IF($M$7="yes",1.3*(IF(F15="DOOR",VLOOKUP(E15,BDD!B:T,14,0), IF(F15="DOOR",VLOOKUP(E15,BDD!B:T,13,0), IF(F15="DOOR",VLOOKUP(E15,BDD!B:T,12,0), IF(F15="DRAWER",VLOOKUP(E15,BDD!B:T,15,0), IF(F15="DRAWER",VLOOKUP(E15,BDD!B:T,16,0),”NOT AV.”)))))),(IF(F15="DOOR",VLOOKUP(E15,BDD!B:T,14,0), IF(F15="DOOR",VLOOKUP(E15,BDD!B:T,13,0), IF(F15="DOOR",VLOOKUP(E15,BDD!B:T,12,0), IF(F15="DRAWER",VLOOKUP(E15,BDD!B:T,15,0), IF(F15="DRAWER",VLOOKUP(E15,BDD!B:T,16,0),”NOT AV.”))))))))</f>
        <v/>
      </c>
      <c r="M15" s="555" t="str">
        <f>IF(L15="","",IF(VLOOKUP(E15,BDD!B:T,17,0)="luxe",$N$43,$N$44))</f>
        <v/>
      </c>
      <c r="N15" s="119" t="str">
        <f t="shared" si="0"/>
        <v/>
      </c>
      <c r="O15" s="149" t="str">
        <f>IF(E15="","",IF(VLOOKUP(E15,BDD!$B$8:$R$100,7,0)="yes","","*"))</f>
        <v/>
      </c>
      <c r="Q15"/>
    </row>
    <row r="16" spans="1:17" ht="20.25" customHeight="1" x14ac:dyDescent="0.25">
      <c r="A16" s="330">
        <v>7</v>
      </c>
      <c r="B16" s="515"/>
      <c r="C16" s="517"/>
      <c r="D16" s="517"/>
      <c r="E16" s="516"/>
      <c r="F16" s="419"/>
      <c r="G16" s="678"/>
      <c r="H16" s="679" t="str">
        <f>IF($E16="","",VLOOKUP(VLOOKUP($E16,BDD!$AV$25:$AX$51,3,0),BDD!$AT:$AU,2,0))</f>
        <v/>
      </c>
      <c r="I16" s="679" t="str">
        <f>IF($E16="","",VLOOKUP(VLOOKUP($E16,BDD!$AV$25:$AX$51,3,0),BDD!$AT:$AU,2,0))</f>
        <v/>
      </c>
      <c r="J16" s="680" t="str">
        <f>IF($E16="","",VLOOKUP(VLOOKUP($E16,BDD!$AV$25:$AX$51,3,0),BDD!$AT:$AU,2,0))</f>
        <v/>
      </c>
      <c r="K16" s="553" t="str">
        <f>IF(C16=0,"",IF($N$7="Inch",IF(C16*D16/144&lt;BDD!$AH$21,B16*BDD!$AH$21,B16*(C16*D16/144)),IF(C16*D16&lt;BDD!$AI$21,B16*BDD!$AH$21,B16*(C16*D16*0.00001076391))))</f>
        <v/>
      </c>
      <c r="L16" s="554" t="str">
        <f>IF(F16="","",IF($M$7="yes",1.3*(IF(F16="DOOR",VLOOKUP(E16,BDD!B:T,14,0), IF(F16="DOOR",VLOOKUP(E16,BDD!B:T,13,0), IF(F16="DOOR",VLOOKUP(E16,BDD!B:T,12,0), IF(F16="DRAWER",VLOOKUP(E16,BDD!B:T,15,0), IF(F16="DRAWER",VLOOKUP(E16,BDD!B:T,16,0),”NOT AV.”)))))),(IF(F16="DOOR",VLOOKUP(E16,BDD!B:T,14,0), IF(F16="DOOR",VLOOKUP(E16,BDD!B:T,13,0), IF(F16="DOOR",VLOOKUP(E16,BDD!B:T,12,0), IF(F16="DRAWER",VLOOKUP(E16,BDD!B:T,15,0), IF(F16="DRAWER",VLOOKUP(E16,BDD!B:T,16,0),”NOT AV.”))))))))</f>
        <v/>
      </c>
      <c r="M16" s="555" t="str">
        <f>IF(L16="","",IF(VLOOKUP(E16,BDD!B:T,17,0)="luxe",$N$43,$N$44))</f>
        <v/>
      </c>
      <c r="N16" s="119" t="str">
        <f t="shared" si="0"/>
        <v/>
      </c>
      <c r="O16" s="149" t="str">
        <f>IF(E16="","",IF(VLOOKUP(E16,BDD!$B$8:$R$100,7,0)="yes","","*"))</f>
        <v/>
      </c>
      <c r="Q16"/>
    </row>
    <row r="17" spans="1:19" ht="20.25" customHeight="1" x14ac:dyDescent="0.25">
      <c r="A17" s="330">
        <v>8</v>
      </c>
      <c r="B17" s="515"/>
      <c r="C17" s="517"/>
      <c r="D17" s="517"/>
      <c r="E17" s="516"/>
      <c r="F17" s="419"/>
      <c r="G17" s="678"/>
      <c r="H17" s="679" t="str">
        <f>IF($E17="","",VLOOKUP(VLOOKUP($E17,BDD!$AV$25:$AX$51,3,0),BDD!$AT:$AU,2,0))</f>
        <v/>
      </c>
      <c r="I17" s="679" t="str">
        <f>IF($E17="","",VLOOKUP(VLOOKUP($E17,BDD!$AV$25:$AX$51,3,0),BDD!$AT:$AU,2,0))</f>
        <v/>
      </c>
      <c r="J17" s="680" t="str">
        <f>IF($E17="","",VLOOKUP(VLOOKUP($E17,BDD!$AV$25:$AX$51,3,0),BDD!$AT:$AU,2,0))</f>
        <v/>
      </c>
      <c r="K17" s="553" t="str">
        <f>IF(C17=0,"",IF($N$7="Inch",IF(C17*D17/144&lt;BDD!$AH$21,B17*BDD!$AH$21,B17*(C17*D17/144)),IF(C17*D17&lt;BDD!$AI$21,B17*BDD!$AH$21,B17*(C17*D17*0.00001076391))))</f>
        <v/>
      </c>
      <c r="L17" s="554" t="str">
        <f>IF(F17="","",IF($M$7="yes",1.3*(IF(F17="DOOR",VLOOKUP(E17,BDD!B:T,14,0), IF(F17="DOOR",VLOOKUP(E17,BDD!B:T,13,0), IF(F17="DOOR",VLOOKUP(E17,BDD!B:T,12,0), IF(F17="DRAWER",VLOOKUP(E17,BDD!B:T,15,0), IF(F17="DRAWER",VLOOKUP(E17,BDD!B:T,16,0),”NOT AV.”)))))),(IF(F17="DOOR",VLOOKUP(E17,BDD!B:T,14,0), IF(F17="DOOR",VLOOKUP(E17,BDD!B:T,13,0), IF(F17="DOOR",VLOOKUP(E17,BDD!B:T,12,0), IF(F17="DRAWER",VLOOKUP(E17,BDD!B:T,15,0), IF(F17="DRAWER",VLOOKUP(E17,BDD!B:T,16,0),”NOT AV.”))))))))</f>
        <v/>
      </c>
      <c r="M17" s="555" t="str">
        <f>IF(L17="","",IF(VLOOKUP(E17,BDD!B:T,17,0)="luxe",$N$43,$N$44))</f>
        <v/>
      </c>
      <c r="N17" s="119" t="str">
        <f t="shared" si="0"/>
        <v/>
      </c>
      <c r="O17" s="149" t="str">
        <f>IF(E17="","",IF(VLOOKUP(E17,BDD!$B$8:$R$100,7,0)="yes","","*"))</f>
        <v/>
      </c>
      <c r="Q17"/>
    </row>
    <row r="18" spans="1:19" ht="20.25" customHeight="1" x14ac:dyDescent="0.25">
      <c r="A18" s="330">
        <v>9</v>
      </c>
      <c r="B18" s="515"/>
      <c r="C18" s="517"/>
      <c r="D18" s="517"/>
      <c r="E18" s="516"/>
      <c r="F18" s="419"/>
      <c r="G18" s="678"/>
      <c r="H18" s="679" t="str">
        <f>IF($E18="","",VLOOKUP(VLOOKUP($E18,BDD!$AV$25:$AX$51,3,0),BDD!$AT:$AU,2,0))</f>
        <v/>
      </c>
      <c r="I18" s="679" t="str">
        <f>IF($E18="","",VLOOKUP(VLOOKUP($E18,BDD!$AV$25:$AX$51,3,0),BDD!$AT:$AU,2,0))</f>
        <v/>
      </c>
      <c r="J18" s="680" t="str">
        <f>IF($E18="","",VLOOKUP(VLOOKUP($E18,BDD!$AV$25:$AX$51,3,0),BDD!$AT:$AU,2,0))</f>
        <v/>
      </c>
      <c r="K18" s="553" t="str">
        <f>IF(C18=0,"",IF($N$7="Inch",IF(C18*D18/144&lt;BDD!$AH$21,B18*BDD!$AH$21,B18*(C18*D18/144)),IF(C18*D18&lt;BDD!$AI$21,B18*BDD!$AH$21,B18*(C18*D18*0.00001076391))))</f>
        <v/>
      </c>
      <c r="L18" s="554" t="str">
        <f>IF(F18="","",IF($M$7="yes",1.3*(IF(F18="DOOR",VLOOKUP(E18,BDD!B:T,14,0), IF(F18="DOOR",VLOOKUP(E18,BDD!B:T,13,0), IF(F18="DOOR",VLOOKUP(E18,BDD!B:T,12,0), IF(F18="DRAWER",VLOOKUP(E18,BDD!B:T,15,0), IF(F18="DRAWER",VLOOKUP(E18,BDD!B:T,16,0),”NOT AV.”)))))),(IF(F18="DOOR",VLOOKUP(E18,BDD!B:T,14,0), IF(F18="DOOR",VLOOKUP(E18,BDD!B:T,13,0), IF(F18="DOOR",VLOOKUP(E18,BDD!B:T,12,0), IF(F18="DRAWER",VLOOKUP(E18,BDD!B:T,15,0), IF(F18="DRAWER",VLOOKUP(E18,BDD!B:T,16,0),”NOT AV.”))))))))</f>
        <v/>
      </c>
      <c r="M18" s="555" t="str">
        <f>IF(L18="","",IF(VLOOKUP(E18,BDD!B:T,17,0)="luxe",$N$43,$N$44))</f>
        <v/>
      </c>
      <c r="N18" s="119" t="str">
        <f t="shared" si="0"/>
        <v/>
      </c>
      <c r="O18" s="149" t="str">
        <f>IF(E18="","",IF(VLOOKUP(E18,BDD!$B$8:$R$100,7,0)="yes","","*"))</f>
        <v/>
      </c>
      <c r="Q18"/>
    </row>
    <row r="19" spans="1:19" ht="20.25" customHeight="1" x14ac:dyDescent="0.25">
      <c r="A19" s="330">
        <v>10</v>
      </c>
      <c r="B19" s="515"/>
      <c r="C19" s="517"/>
      <c r="D19" s="517"/>
      <c r="E19" s="516"/>
      <c r="F19" s="419"/>
      <c r="G19" s="678"/>
      <c r="H19" s="679" t="str">
        <f>IF($E19="","",VLOOKUP(VLOOKUP($E19,BDD!$AV$25:$AX$51,3,0),BDD!$AT:$AU,2,0))</f>
        <v/>
      </c>
      <c r="I19" s="679" t="str">
        <f>IF($E19="","",VLOOKUP(VLOOKUP($E19,BDD!$AV$25:$AX$51,3,0),BDD!$AT:$AU,2,0))</f>
        <v/>
      </c>
      <c r="J19" s="680" t="str">
        <f>IF($E19="","",VLOOKUP(VLOOKUP($E19,BDD!$AV$25:$AX$51,3,0),BDD!$AT:$AU,2,0))</f>
        <v/>
      </c>
      <c r="K19" s="553" t="str">
        <f>IF(C19=0,"",IF($N$7="Inch",IF(C19*D19/144&lt;BDD!$AH$21,B19*BDD!$AH$21,B19*(C19*D19/144)),IF(C19*D19&lt;BDD!$AI$21,B19*BDD!$AH$21,B19*(C19*D19*0.00001076391))))</f>
        <v/>
      </c>
      <c r="L19" s="554" t="str">
        <f>IF(F19="","",IF($M$7="yes",1.3*(IF(F19="DOOR",VLOOKUP(E19,BDD!B:T,14,0), IF(F19="DOOR",VLOOKUP(E19,BDD!B:T,13,0), IF(F19="DOOR",VLOOKUP(E19,BDD!B:T,12,0), IF(F19="DRAWER",VLOOKUP(E19,BDD!B:T,15,0), IF(F19="DRAWER",VLOOKUP(E19,BDD!B:T,16,0),”NOT AV.”)))))),(IF(F19="DOOR",VLOOKUP(E19,BDD!B:T,14,0), IF(F19="DOOR",VLOOKUP(E19,BDD!B:T,13,0), IF(F19="DOOR",VLOOKUP(E19,BDD!B:T,12,0), IF(F19="DRAWER",VLOOKUP(E19,BDD!B:T,15,0), IF(F19="DRAWER",VLOOKUP(E19,BDD!B:T,16,0),”NOT AV.”))))))))</f>
        <v/>
      </c>
      <c r="M19" s="555" t="str">
        <f>IF(L19="","",IF(VLOOKUP(E19,BDD!B:T,17,0)="luxe",$N$43,$N$44))</f>
        <v/>
      </c>
      <c r="N19" s="119" t="str">
        <f t="shared" si="0"/>
        <v/>
      </c>
      <c r="O19" s="149" t="str">
        <f>IF(E19="","",IF(VLOOKUP(E19,BDD!$B$8:$R$100,7,0)="yes","","*"))</f>
        <v/>
      </c>
      <c r="Q19"/>
    </row>
    <row r="20" spans="1:19" ht="20.25" customHeight="1" x14ac:dyDescent="0.25">
      <c r="A20" s="330">
        <v>11</v>
      </c>
      <c r="B20" s="515"/>
      <c r="C20" s="517"/>
      <c r="D20" s="517"/>
      <c r="E20" s="516"/>
      <c r="F20" s="419"/>
      <c r="G20" s="678"/>
      <c r="H20" s="679" t="str">
        <f>IF($E20="","",VLOOKUP(VLOOKUP($E20,BDD!$AV$25:$AX$51,3,0),BDD!$AT:$AU,2,0))</f>
        <v/>
      </c>
      <c r="I20" s="679" t="str">
        <f>IF($E20="","",VLOOKUP(VLOOKUP($E20,BDD!$AV$25:$AX$51,3,0),BDD!$AT:$AU,2,0))</f>
        <v/>
      </c>
      <c r="J20" s="680" t="str">
        <f>IF($E20="","",VLOOKUP(VLOOKUP($E20,BDD!$AV$25:$AX$51,3,0),BDD!$AT:$AU,2,0))</f>
        <v/>
      </c>
      <c r="K20" s="553" t="str">
        <f>IF(C20=0,"",IF($N$7="Inch",IF(C20*D20/144&lt;BDD!$AH$21,B20*BDD!$AH$21,B20*(C20*D20/144)),IF(C20*D20&lt;BDD!$AI$21,B20*BDD!$AH$21,B20*(C20*D20*0.00001076391))))</f>
        <v/>
      </c>
      <c r="L20" s="554" t="str">
        <f>IF(F20="","",IF($M$7="yes",1.3*(IF(F20="DOOR",VLOOKUP(E20,BDD!B:T,14,0), IF(F20="DOOR",VLOOKUP(E20,BDD!B:T,13,0), IF(F20="DOOR",VLOOKUP(E20,BDD!B:T,12,0), IF(F20="DRAWER",VLOOKUP(E20,BDD!B:T,15,0), IF(F20="DRAWER",VLOOKUP(E20,BDD!B:T,16,0),”NOT AV.”)))))),(IF(F20="DOOR",VLOOKUP(E20,BDD!B:T,14,0), IF(F20="DOOR",VLOOKUP(E20,BDD!B:T,13,0), IF(F20="DOOR",VLOOKUP(E20,BDD!B:T,12,0), IF(F20="DRAWER",VLOOKUP(E20,BDD!B:T,15,0), IF(F20="DRAWER",VLOOKUP(E20,BDD!B:T,16,0),”NOT AV.”))))))))</f>
        <v/>
      </c>
      <c r="M20" s="555" t="str">
        <f>IF(L20="","",IF(VLOOKUP(E20,BDD!B:T,17,0)="luxe",$N$43,$N$44))</f>
        <v/>
      </c>
      <c r="N20" s="119" t="str">
        <f t="shared" si="0"/>
        <v/>
      </c>
      <c r="O20" s="149" t="str">
        <f>IF(E20="","",IF(VLOOKUP(E20,BDD!$B$8:$R$100,7,0)="yes","","*"))</f>
        <v/>
      </c>
      <c r="Q20"/>
    </row>
    <row r="21" spans="1:19" ht="20.25" customHeight="1" x14ac:dyDescent="0.25">
      <c r="A21" s="330">
        <v>12</v>
      </c>
      <c r="B21" s="515"/>
      <c r="C21" s="517"/>
      <c r="D21" s="517"/>
      <c r="E21" s="516"/>
      <c r="F21" s="419"/>
      <c r="G21" s="678"/>
      <c r="H21" s="679" t="str">
        <f>IF($E21="","",VLOOKUP(VLOOKUP($E21,BDD!$AV$25:$AX$51,3,0),BDD!$AT:$AU,2,0))</f>
        <v/>
      </c>
      <c r="I21" s="679" t="str">
        <f>IF($E21="","",VLOOKUP(VLOOKUP($E21,BDD!$AV$25:$AX$51,3,0),BDD!$AT:$AU,2,0))</f>
        <v/>
      </c>
      <c r="J21" s="680" t="str">
        <f>IF($E21="","",VLOOKUP(VLOOKUP($E21,BDD!$AV$25:$AX$51,3,0),BDD!$AT:$AU,2,0))</f>
        <v/>
      </c>
      <c r="K21" s="553" t="str">
        <f>IF(C21=0,"",IF($N$7="Inch",IF(C21*D21/144&lt;BDD!$AH$21,B21*BDD!$AH$21,B21*(C21*D21/144)),IF(C21*D21&lt;BDD!$AI$21,B21*BDD!$AH$21,B21*(C21*D21*0.00001076391))))</f>
        <v/>
      </c>
      <c r="L21" s="554" t="str">
        <f>IF(F21="","",IF($M$7="yes",1.3*(IF(F21="DOOR",VLOOKUP(E21,BDD!B:T,14,0), IF(F21="DOOR",VLOOKUP(E21,BDD!B:T,13,0), IF(F21="DOOR",VLOOKUP(E21,BDD!B:T,12,0), IF(F21="DRAWER",VLOOKUP(E21,BDD!B:T,15,0), IF(F21="DRAWER",VLOOKUP(E21,BDD!B:T,16,0),”NOT AV.”)))))),(IF(F21="DOOR",VLOOKUP(E21,BDD!B:T,14,0), IF(F21="DOOR",VLOOKUP(E21,BDD!B:T,13,0), IF(F21="DOOR",VLOOKUP(E21,BDD!B:T,12,0), IF(F21="DRAWER",VLOOKUP(E21,BDD!B:T,15,0), IF(F21="DRAWER",VLOOKUP(E21,BDD!B:T,16,0),”NOT AV.”))))))))</f>
        <v/>
      </c>
      <c r="M21" s="555" t="str">
        <f>IF(L21="","",IF(VLOOKUP(E21,BDD!B:T,17,0)="luxe",$N$43,$N$44))</f>
        <v/>
      </c>
      <c r="N21" s="119" t="str">
        <f t="shared" si="0"/>
        <v/>
      </c>
      <c r="O21" s="149" t="str">
        <f>IF(E21="","",IF(VLOOKUP(E21,BDD!$B$8:$R$100,7,0)="yes","","*"))</f>
        <v/>
      </c>
      <c r="Q21"/>
    </row>
    <row r="22" spans="1:19" ht="20.25" customHeight="1" x14ac:dyDescent="0.25">
      <c r="A22" s="330">
        <v>13</v>
      </c>
      <c r="B22" s="515"/>
      <c r="C22" s="517"/>
      <c r="D22" s="517"/>
      <c r="E22" s="516"/>
      <c r="F22" s="419"/>
      <c r="G22" s="678"/>
      <c r="H22" s="679" t="str">
        <f>IF($E22="","",VLOOKUP(VLOOKUP($E22,BDD!$AV$25:$AX$51,3,0),BDD!$AT:$AU,2,0))</f>
        <v/>
      </c>
      <c r="I22" s="679" t="str">
        <f>IF($E22="","",VLOOKUP(VLOOKUP($E22,BDD!$AV$25:$AX$51,3,0),BDD!$AT:$AU,2,0))</f>
        <v/>
      </c>
      <c r="J22" s="680" t="str">
        <f>IF($E22="","",VLOOKUP(VLOOKUP($E22,BDD!$AV$25:$AX$51,3,0),BDD!$AT:$AU,2,0))</f>
        <v/>
      </c>
      <c r="K22" s="553" t="str">
        <f>IF(C22=0,"",IF($N$7="Inch",IF(C22*D22/144&lt;BDD!$AH$21,B22*BDD!$AH$21,B22*(C22*D22/144)),IF(C22*D22&lt;BDD!$AI$21,B22*BDD!$AH$21,B22*(C22*D22*0.00001076391))))</f>
        <v/>
      </c>
      <c r="L22" s="554" t="str">
        <f>IF(F22="","",IF($M$7="yes",1.3*(IF(F22="DOOR",VLOOKUP(E22,BDD!B:T,14,0), IF(F22="DOOR",VLOOKUP(E22,BDD!B:T,13,0), IF(F22="DOOR",VLOOKUP(E22,BDD!B:T,12,0), IF(F22="DRAWER",VLOOKUP(E22,BDD!B:T,15,0), IF(F22="DRAWER",VLOOKUP(E22,BDD!B:T,16,0),”NOT AV.”)))))),(IF(F22="DOOR",VLOOKUP(E22,BDD!B:T,14,0), IF(F22="DOOR",VLOOKUP(E22,BDD!B:T,13,0), IF(F22="DOOR",VLOOKUP(E22,BDD!B:T,12,0), IF(F22="DRAWER",VLOOKUP(E22,BDD!B:T,15,0), IF(F22="DRAWER",VLOOKUP(E22,BDD!B:T,16,0),”NOT AV.”))))))))</f>
        <v/>
      </c>
      <c r="M22" s="555" t="str">
        <f>IF(L22="","",IF(VLOOKUP(E22,BDD!B:T,17,0)="luxe",$N$43,$N$44))</f>
        <v/>
      </c>
      <c r="N22" s="119" t="str">
        <f t="shared" si="0"/>
        <v/>
      </c>
      <c r="O22" s="149" t="str">
        <f>IF(E22="","",IF(VLOOKUP(E22,BDD!$B$8:$R$100,7,0)="yes","","*"))</f>
        <v/>
      </c>
      <c r="Q22"/>
      <c r="R22"/>
      <c r="S22"/>
    </row>
    <row r="23" spans="1:19" ht="20.25" customHeight="1" x14ac:dyDescent="0.25">
      <c r="A23" s="330">
        <v>14</v>
      </c>
      <c r="B23" s="515"/>
      <c r="C23" s="517"/>
      <c r="D23" s="517"/>
      <c r="E23" s="516"/>
      <c r="F23" s="419"/>
      <c r="G23" s="678"/>
      <c r="H23" s="679" t="str">
        <f>IF($E23="","",VLOOKUP(VLOOKUP($E23,BDD!$AV$25:$AX$51,3,0),BDD!$AT:$AU,2,0))</f>
        <v/>
      </c>
      <c r="I23" s="679" t="str">
        <f>IF($E23="","",VLOOKUP(VLOOKUP($E23,BDD!$AV$25:$AX$51,3,0),BDD!$AT:$AU,2,0))</f>
        <v/>
      </c>
      <c r="J23" s="680" t="str">
        <f>IF($E23="","",VLOOKUP(VLOOKUP($E23,BDD!$AV$25:$AX$51,3,0),BDD!$AT:$AU,2,0))</f>
        <v/>
      </c>
      <c r="K23" s="553" t="str">
        <f>IF(C23=0,"",IF($N$7="Inch",IF(C23*D23/144&lt;BDD!$AH$21,B23*BDD!$AH$21,B23*(C23*D23/144)),IF(C23*D23&lt;BDD!$AI$21,B23*BDD!$AH$21,B23*(C23*D23*0.00001076391))))</f>
        <v/>
      </c>
      <c r="L23" s="554" t="str">
        <f>IF(F23="","",IF($M$7="yes",1.3*(IF(F23="DOOR",VLOOKUP(E23,BDD!B:T,14,0), IF(F23="DOOR",VLOOKUP(E23,BDD!B:T,13,0), IF(F23="DOOR",VLOOKUP(E23,BDD!B:T,12,0), IF(F23="DRAWER",VLOOKUP(E23,BDD!B:T,15,0), IF(F23="DRAWER",VLOOKUP(E23,BDD!B:T,16,0),”NOT AV.”)))))),(IF(F23="DOOR",VLOOKUP(E23,BDD!B:T,14,0), IF(F23="DOOR",VLOOKUP(E23,BDD!B:T,13,0), IF(F23="DOOR",VLOOKUP(E23,BDD!B:T,12,0), IF(F23="DRAWER",VLOOKUP(E23,BDD!B:T,15,0), IF(F23="DRAWER",VLOOKUP(E23,BDD!B:T,16,0),”NOT AV.”))))))))</f>
        <v/>
      </c>
      <c r="M23" s="555" t="str">
        <f>IF(L23="","",IF(VLOOKUP(E23,BDD!B:T,17,0)="luxe",$N$43,$N$44))</f>
        <v/>
      </c>
      <c r="N23" s="119" t="str">
        <f t="shared" si="0"/>
        <v/>
      </c>
      <c r="O23" s="149" t="str">
        <f>IF(E23="","",IF(VLOOKUP(E23,BDD!$B$8:$R$100,7,0)="yes","","*"))</f>
        <v/>
      </c>
    </row>
    <row r="24" spans="1:19" ht="20.25" customHeight="1" x14ac:dyDescent="0.25">
      <c r="A24" s="330">
        <v>15</v>
      </c>
      <c r="B24" s="515"/>
      <c r="C24" s="517"/>
      <c r="D24" s="517"/>
      <c r="E24" s="516"/>
      <c r="F24" s="419"/>
      <c r="G24" s="678"/>
      <c r="H24" s="679" t="str">
        <f>IF($E24="","",VLOOKUP(VLOOKUP($E24,BDD!$AV$25:$AX$51,3,0),BDD!$AT:$AU,2,0))</f>
        <v/>
      </c>
      <c r="I24" s="679" t="str">
        <f>IF($E24="","",VLOOKUP(VLOOKUP($E24,BDD!$AV$25:$AX$51,3,0),BDD!$AT:$AU,2,0))</f>
        <v/>
      </c>
      <c r="J24" s="680" t="str">
        <f>IF($E24="","",VLOOKUP(VLOOKUP($E24,BDD!$AV$25:$AX$51,3,0),BDD!$AT:$AU,2,0))</f>
        <v/>
      </c>
      <c r="K24" s="553" t="str">
        <f>IF(C24=0,"",IF($N$7="Inch",IF(C24*D24/144&lt;BDD!$AH$21,B24*BDD!$AH$21,B24*(C24*D24/144)),IF(C24*D24&lt;BDD!$AI$21,B24*BDD!$AH$21,B24*(C24*D24*0.00001076391))))</f>
        <v/>
      </c>
      <c r="L24" s="554" t="str">
        <f>IF(F24="","",IF($M$7="yes",1.3*(IF(F24="DOOR",VLOOKUP(E24,BDD!B:T,14,0), IF(F24="DOOR",VLOOKUP(E24,BDD!B:T,13,0), IF(F24="DOOR",VLOOKUP(E24,BDD!B:T,12,0), IF(F24="DRAWER",VLOOKUP(E24,BDD!B:T,15,0), IF(F24="DRAWER",VLOOKUP(E24,BDD!B:T,16,0),”NOT AV.”)))))),(IF(F24="DOOR",VLOOKUP(E24,BDD!B:T,14,0), IF(F24="DOOR",VLOOKUP(E24,BDD!B:T,13,0), IF(F24="DOOR",VLOOKUP(E24,BDD!B:T,12,0), IF(F24="DRAWER",VLOOKUP(E24,BDD!B:T,15,0), IF(F24="DRAWER",VLOOKUP(E24,BDD!B:T,16,0),”NOT AV.”))))))))</f>
        <v/>
      </c>
      <c r="M24" s="555" t="str">
        <f>IF(L24="","",IF(VLOOKUP(E24,BDD!B:T,17,0)="luxe",$N$43,$N$44))</f>
        <v/>
      </c>
      <c r="N24" s="119" t="str">
        <f t="shared" si="0"/>
        <v/>
      </c>
      <c r="O24" s="149" t="str">
        <f>IF(E24="","",IF(VLOOKUP(E24,BDD!$B$8:$R$100,7,0)="yes","","*"))</f>
        <v/>
      </c>
    </row>
    <row r="25" spans="1:19" ht="20.25" customHeight="1" x14ac:dyDescent="0.25">
      <c r="A25" s="330">
        <v>16</v>
      </c>
      <c r="B25" s="515"/>
      <c r="C25" s="517"/>
      <c r="D25" s="517"/>
      <c r="E25" s="516"/>
      <c r="F25" s="419"/>
      <c r="G25" s="678"/>
      <c r="H25" s="679" t="str">
        <f>IF($E25="","",VLOOKUP(VLOOKUP($E25,BDD!$AV$25:$AX$51,3,0),BDD!$AT:$AU,2,0))</f>
        <v/>
      </c>
      <c r="I25" s="679" t="str">
        <f>IF($E25="","",VLOOKUP(VLOOKUP($E25,BDD!$AV$25:$AX$51,3,0),BDD!$AT:$AU,2,0))</f>
        <v/>
      </c>
      <c r="J25" s="680" t="str">
        <f>IF($E25="","",VLOOKUP(VLOOKUP($E25,BDD!$AV$25:$AX$51,3,0),BDD!$AT:$AU,2,0))</f>
        <v/>
      </c>
      <c r="K25" s="553" t="str">
        <f>IF(C25=0,"",IF($N$7="Inch",IF(C25*D25/144&lt;BDD!$AH$21,B25*BDD!$AH$21,B25*(C25*D25/144)),IF(C25*D25&lt;BDD!$AI$21,B25*BDD!$AH$21,B25*(C25*D25*0.00001076391))))</f>
        <v/>
      </c>
      <c r="L25" s="554" t="str">
        <f>IF(F25="","",IF($M$7="yes",1.3*(IF(F25="DOOR",VLOOKUP(E25,BDD!B:T,14,0), IF(F25="DOOR",VLOOKUP(E25,BDD!B:T,13,0), IF(F25="DOOR",VLOOKUP(E25,BDD!B:T,12,0), IF(F25="DRAWER",VLOOKUP(E25,BDD!B:T,15,0), IF(F25="DRAWER",VLOOKUP(E25,BDD!B:T,16,0),”NOT AV.”)))))),(IF(F25="DOOR",VLOOKUP(E25,BDD!B:T,14,0), IF(F25="DOOR",VLOOKUP(E25,BDD!B:T,13,0), IF(F25="DOOR",VLOOKUP(E25,BDD!B:T,12,0), IF(F25="DRAWER",VLOOKUP(E25,BDD!B:T,15,0), IF(F25="DRAWER",VLOOKUP(E25,BDD!B:T,16,0),”NOT AV.”))))))))</f>
        <v/>
      </c>
      <c r="M25" s="555" t="str">
        <f>IF(L25="","",IF(VLOOKUP(E25,BDD!B:T,17,0)="luxe",$N$43,$N$44))</f>
        <v/>
      </c>
      <c r="N25" s="119" t="str">
        <f t="shared" si="0"/>
        <v/>
      </c>
      <c r="O25" s="149" t="str">
        <f>IF(E25="","",IF(VLOOKUP(E25,BDD!$B$8:$R$100,7,0)="yes","","*"))</f>
        <v/>
      </c>
    </row>
    <row r="26" spans="1:19" ht="20.25" customHeight="1" x14ac:dyDescent="0.25">
      <c r="A26" s="330">
        <v>17</v>
      </c>
      <c r="B26" s="515"/>
      <c r="C26" s="517"/>
      <c r="D26" s="517"/>
      <c r="E26" s="516"/>
      <c r="F26" s="419"/>
      <c r="G26" s="678"/>
      <c r="H26" s="679" t="str">
        <f>IF($E26="","",VLOOKUP(VLOOKUP($E26,BDD!$AV$25:$AX$51,3,0),BDD!$AT:$AU,2,0))</f>
        <v/>
      </c>
      <c r="I26" s="679" t="str">
        <f>IF($E26="","",VLOOKUP(VLOOKUP($E26,BDD!$AV$25:$AX$51,3,0),BDD!$AT:$AU,2,0))</f>
        <v/>
      </c>
      <c r="J26" s="680" t="str">
        <f>IF($E26="","",VLOOKUP(VLOOKUP($E26,BDD!$AV$25:$AX$51,3,0),BDD!$AT:$AU,2,0))</f>
        <v/>
      </c>
      <c r="K26" s="553" t="str">
        <f>IF(C26=0,"",IF($N$7="Inch",IF(C26*D26/144&lt;BDD!$AH$21,B26*BDD!$AH$21,B26*(C26*D26/144)),IF(C26*D26&lt;BDD!$AI$21,B26*BDD!$AH$21,B26*(C26*D26*0.00001076391))))</f>
        <v/>
      </c>
      <c r="L26" s="554" t="str">
        <f>IF(F26="","",IF($M$7="yes",1.3*(IF(F26="DOOR",VLOOKUP(E26,BDD!B:T,14,0), IF(F26="DOOR",VLOOKUP(E26,BDD!B:T,13,0), IF(F26="DOOR",VLOOKUP(E26,BDD!B:T,12,0), IF(F26="DRAWER",VLOOKUP(E26,BDD!B:T,15,0), IF(F26="DRAWER",VLOOKUP(E26,BDD!B:T,16,0),”NOT AV.”)))))),(IF(F26="DOOR",VLOOKUP(E26,BDD!B:T,14,0), IF(F26="DOOR",VLOOKUP(E26,BDD!B:T,13,0), IF(F26="DOOR",VLOOKUP(E26,BDD!B:T,12,0), IF(F26="DRAWER",VLOOKUP(E26,BDD!B:T,15,0), IF(F26="DRAWER",VLOOKUP(E26,BDD!B:T,16,0),”NOT AV.”))))))))</f>
        <v/>
      </c>
      <c r="M26" s="555" t="str">
        <f>IF(L26="","",IF(VLOOKUP(E26,BDD!B:T,17,0)="luxe",$N$43,$N$44))</f>
        <v/>
      </c>
      <c r="N26" s="119" t="str">
        <f t="shared" si="0"/>
        <v/>
      </c>
      <c r="O26" s="149" t="str">
        <f>IF(E26="","",IF(VLOOKUP(E26,BDD!$B$8:$R$100,7,0)="yes","","*"))</f>
        <v/>
      </c>
    </row>
    <row r="27" spans="1:19" ht="20.25" customHeight="1" x14ac:dyDescent="0.25">
      <c r="A27" s="330">
        <v>18</v>
      </c>
      <c r="B27" s="515"/>
      <c r="C27" s="517"/>
      <c r="D27" s="517"/>
      <c r="E27" s="516"/>
      <c r="F27" s="419"/>
      <c r="G27" s="678"/>
      <c r="H27" s="679" t="str">
        <f>IF($E27="","",VLOOKUP(VLOOKUP($E27,BDD!$AV$25:$AX$51,3,0),BDD!$AT:$AU,2,0))</f>
        <v/>
      </c>
      <c r="I27" s="679" t="str">
        <f>IF($E27="","",VLOOKUP(VLOOKUP($E27,BDD!$AV$25:$AX$51,3,0),BDD!$AT:$AU,2,0))</f>
        <v/>
      </c>
      <c r="J27" s="680" t="str">
        <f>IF($E27="","",VLOOKUP(VLOOKUP($E27,BDD!$AV$25:$AX$51,3,0),BDD!$AT:$AU,2,0))</f>
        <v/>
      </c>
      <c r="K27" s="553" t="str">
        <f>IF(C27=0,"",IF($N$7="Inch",IF(C27*D27/144&lt;BDD!$AH$21,B27*BDD!$AH$21,B27*(C27*D27/144)),IF(C27*D27&lt;BDD!$AI$21,B27*BDD!$AH$21,B27*(C27*D27*0.00001076391))))</f>
        <v/>
      </c>
      <c r="L27" s="554" t="str">
        <f>IF(F27="","",IF($M$7="yes",1.3*(IF(F27="DOOR",VLOOKUP(E27,BDD!B:T,14,0), IF(F27="DOOR",VLOOKUP(E27,BDD!B:T,13,0), IF(F27="DOOR",VLOOKUP(E27,BDD!B:T,12,0), IF(F27="DRAWER",VLOOKUP(E27,BDD!B:T,15,0), IF(F27="DRAWER",VLOOKUP(E27,BDD!B:T,16,0),”NOT AV.”)))))),(IF(F27="DOOR",VLOOKUP(E27,BDD!B:T,14,0), IF(F27="DOOR",VLOOKUP(E27,BDD!B:T,13,0), IF(F27="DOOR",VLOOKUP(E27,BDD!B:T,12,0), IF(F27="DRAWER",VLOOKUP(E27,BDD!B:T,15,0), IF(F27="DRAWER",VLOOKUP(E27,BDD!B:T,16,0),”NOT AV.”))))))))</f>
        <v/>
      </c>
      <c r="M27" s="555" t="str">
        <f>IF(L27="","",IF(VLOOKUP(E27,BDD!B:T,17,0)="luxe",$N$43,$N$44))</f>
        <v/>
      </c>
      <c r="N27" s="119" t="str">
        <f t="shared" si="0"/>
        <v/>
      </c>
      <c r="O27" s="149" t="str">
        <f>IF(E27="","",IF(VLOOKUP(E27,BDD!$B$8:$R$100,7,0)="yes","","*"))</f>
        <v/>
      </c>
    </row>
    <row r="28" spans="1:19" ht="20.25" customHeight="1" x14ac:dyDescent="0.25">
      <c r="A28" s="330">
        <v>19</v>
      </c>
      <c r="B28" s="515"/>
      <c r="C28" s="517"/>
      <c r="D28" s="517"/>
      <c r="E28" s="516"/>
      <c r="F28" s="419"/>
      <c r="G28" s="678"/>
      <c r="H28" s="679" t="str">
        <f>IF($E28="","",VLOOKUP(VLOOKUP($E28,BDD!$AV$25:$AX$51,3,0),BDD!$AT:$AU,2,0))</f>
        <v/>
      </c>
      <c r="I28" s="679" t="str">
        <f>IF($E28="","",VLOOKUP(VLOOKUP($E28,BDD!$AV$25:$AX$51,3,0),BDD!$AT:$AU,2,0))</f>
        <v/>
      </c>
      <c r="J28" s="680" t="str">
        <f>IF($E28="","",VLOOKUP(VLOOKUP($E28,BDD!$AV$25:$AX$51,3,0),BDD!$AT:$AU,2,0))</f>
        <v/>
      </c>
      <c r="K28" s="553" t="str">
        <f>IF(C28=0,"",IF($N$7="Inch",IF(C28*D28/144&lt;BDD!$AH$21,B28*BDD!$AH$21,B28*(C28*D28/144)),IF(C28*D28&lt;BDD!$AI$21,B28*BDD!$AH$21,B28*(C28*D28*0.00001076391))))</f>
        <v/>
      </c>
      <c r="L28" s="554" t="str">
        <f>IF(F28="","",IF($M$7="yes",1.3*(IF(F28="DOOR",VLOOKUP(E28,BDD!B:T,14,0), IF(F28="DOOR",VLOOKUP(E28,BDD!B:T,13,0), IF(F28="DOOR",VLOOKUP(E28,BDD!B:T,12,0), IF(F28="DRAWER",VLOOKUP(E28,BDD!B:T,15,0), IF(F28="DRAWER",VLOOKUP(E28,BDD!B:T,16,0),”NOT AV.”)))))),(IF(F28="DOOR",VLOOKUP(E28,BDD!B:T,14,0), IF(F28="DOOR",VLOOKUP(E28,BDD!B:T,13,0), IF(F28="DOOR",VLOOKUP(E28,BDD!B:T,12,0), IF(F28="DRAWER",VLOOKUP(E28,BDD!B:T,15,0), IF(F28="DRAWER",VLOOKUP(E28,BDD!B:T,16,0),”NOT AV.”))))))))</f>
        <v/>
      </c>
      <c r="M28" s="555" t="str">
        <f>IF(L28="","",IF(VLOOKUP(E28,BDD!B:T,17,0)="luxe",$N$43,$N$44))</f>
        <v/>
      </c>
      <c r="N28" s="119" t="str">
        <f t="shared" si="0"/>
        <v/>
      </c>
      <c r="O28" s="149" t="str">
        <f>IF(E28="","",IF(VLOOKUP(E28,BDD!$B$8:$R$100,7,0)="yes","","*"))</f>
        <v/>
      </c>
    </row>
    <row r="29" spans="1:19" ht="20.25" customHeight="1" x14ac:dyDescent="0.25">
      <c r="A29" s="330">
        <v>20</v>
      </c>
      <c r="B29" s="515"/>
      <c r="C29" s="517"/>
      <c r="D29" s="517"/>
      <c r="E29" s="516"/>
      <c r="F29" s="419"/>
      <c r="G29" s="678"/>
      <c r="H29" s="679" t="str">
        <f>IF($E29="","",VLOOKUP(VLOOKUP($E29,BDD!$AV$25:$AX$51,3,0),BDD!$AT:$AU,2,0))</f>
        <v/>
      </c>
      <c r="I29" s="679" t="str">
        <f>IF($E29="","",VLOOKUP(VLOOKUP($E29,BDD!$AV$25:$AX$51,3,0),BDD!$AT:$AU,2,0))</f>
        <v/>
      </c>
      <c r="J29" s="680" t="str">
        <f>IF($E29="","",VLOOKUP(VLOOKUP($E29,BDD!$AV$25:$AX$51,3,0),BDD!$AT:$AU,2,0))</f>
        <v/>
      </c>
      <c r="K29" s="553" t="str">
        <f>IF(C29=0,"",IF($N$7="Inch",IF(C29*D29/144&lt;BDD!$AH$21,B29*BDD!$AH$21,B29*(C29*D29/144)),IF(C29*D29&lt;BDD!$AI$21,B29*BDD!$AH$21,B29*(C29*D29*0.00001076391))))</f>
        <v/>
      </c>
      <c r="L29" s="554" t="str">
        <f>IF(F29="","",IF($M$7="yes",1.3*(IF(F29="DOOR",VLOOKUP(E29,BDD!B:T,14,0), IF(F29="DOOR",VLOOKUP(E29,BDD!B:T,13,0), IF(F29="DOOR",VLOOKUP(E29,BDD!B:T,12,0), IF(F29="DRAWER",VLOOKUP(E29,BDD!B:T,15,0), IF(F29="DRAWER",VLOOKUP(E29,BDD!B:T,16,0),”NOT AV.”)))))),(IF(F29="DOOR",VLOOKUP(E29,BDD!B:T,14,0), IF(F29="DOOR",VLOOKUP(E29,BDD!B:T,13,0), IF(F29="DOOR",VLOOKUP(E29,BDD!B:T,12,0), IF(F29="DRAWER",VLOOKUP(E29,BDD!B:T,15,0), IF(F29="DRAWER",VLOOKUP(E29,BDD!B:T,16,0),”NOT AV.”))))))))</f>
        <v/>
      </c>
      <c r="M29" s="555" t="str">
        <f>IF(L29="","",IF(VLOOKUP(E29,BDD!B:T,17,0)="luxe",$N$43,$N$44))</f>
        <v/>
      </c>
      <c r="N29" s="119" t="str">
        <f t="shared" si="0"/>
        <v/>
      </c>
      <c r="O29" s="149" t="str">
        <f>IF(E29="","",IF(VLOOKUP(E29,BDD!$B$8:$R$100,7,0)="yes","","*"))</f>
        <v/>
      </c>
    </row>
    <row r="30" spans="1:19" ht="20.25" customHeight="1" x14ac:dyDescent="0.25">
      <c r="A30" s="330">
        <v>21</v>
      </c>
      <c r="B30" s="515"/>
      <c r="C30" s="517"/>
      <c r="D30" s="517"/>
      <c r="E30" s="516"/>
      <c r="F30" s="419"/>
      <c r="G30" s="678"/>
      <c r="H30" s="679" t="str">
        <f>IF($E30="","",VLOOKUP(VLOOKUP($E30,BDD!$AV$25:$AX$51,3,0),BDD!$AT:$AU,2,0))</f>
        <v/>
      </c>
      <c r="I30" s="679" t="str">
        <f>IF($E30="","",VLOOKUP(VLOOKUP($E30,BDD!$AV$25:$AX$51,3,0),BDD!$AT:$AU,2,0))</f>
        <v/>
      </c>
      <c r="J30" s="680" t="str">
        <f>IF($E30="","",VLOOKUP(VLOOKUP($E30,BDD!$AV$25:$AX$51,3,0),BDD!$AT:$AU,2,0))</f>
        <v/>
      </c>
      <c r="K30" s="553" t="str">
        <f>IF(C30=0,"",IF($N$7="Inch",IF(C30*D30/144&lt;BDD!$AH$21,B30*BDD!$AH$21,B30*(C30*D30/144)),IF(C30*D30&lt;BDD!$AI$21,B30*BDD!$AH$21,B30*(C30*D30*0.00001076391))))</f>
        <v/>
      </c>
      <c r="L30" s="554" t="str">
        <f>IF(F30="","",IF($M$7="yes",1.3*(IF(F30="DOOR",VLOOKUP(E30,BDD!B:T,14,0), IF(F30="DOOR",VLOOKUP(E30,BDD!B:T,13,0), IF(F30="DOOR",VLOOKUP(E30,BDD!B:T,12,0), IF(F30="DRAWER",VLOOKUP(E30,BDD!B:T,15,0), IF(F30="DRAWER",VLOOKUP(E30,BDD!B:T,16,0),”NOT AV.”)))))),(IF(F30="DOOR",VLOOKUP(E30,BDD!B:T,14,0), IF(F30="DOOR",VLOOKUP(E30,BDD!B:T,13,0), IF(F30="DOOR",VLOOKUP(E30,BDD!B:T,12,0), IF(F30="DRAWER",VLOOKUP(E30,BDD!B:T,15,0), IF(F30="DRAWER",VLOOKUP(E30,BDD!B:T,16,0),”NOT AV.”))))))))</f>
        <v/>
      </c>
      <c r="M30" s="555" t="str">
        <f>IF(L30="","",IF(VLOOKUP(E30,BDD!B:T,17,0)="luxe",$N$43,$N$44))</f>
        <v/>
      </c>
      <c r="N30" s="119" t="str">
        <f t="shared" si="0"/>
        <v/>
      </c>
      <c r="O30" s="149" t="str">
        <f>IF(E30="","",IF(VLOOKUP(E30,BDD!$B$8:$R$100,7,0)="yes","","*"))</f>
        <v/>
      </c>
    </row>
    <row r="31" spans="1:19" ht="20.25" customHeight="1" x14ac:dyDescent="0.25">
      <c r="A31" s="330">
        <v>22</v>
      </c>
      <c r="B31" s="515"/>
      <c r="C31" s="517"/>
      <c r="D31" s="517"/>
      <c r="E31" s="516"/>
      <c r="F31" s="419"/>
      <c r="G31" s="678"/>
      <c r="H31" s="679" t="str">
        <f>IF($E31="","",VLOOKUP(VLOOKUP($E31,BDD!$AV$25:$AX$51,3,0),BDD!$AT:$AU,2,0))</f>
        <v/>
      </c>
      <c r="I31" s="679" t="str">
        <f>IF($E31="","",VLOOKUP(VLOOKUP($E31,BDD!$AV$25:$AX$51,3,0),BDD!$AT:$AU,2,0))</f>
        <v/>
      </c>
      <c r="J31" s="680" t="str">
        <f>IF($E31="","",VLOOKUP(VLOOKUP($E31,BDD!$AV$25:$AX$51,3,0),BDD!$AT:$AU,2,0))</f>
        <v/>
      </c>
      <c r="K31" s="553" t="str">
        <f>IF(C31=0,"",IF($N$7="Inch",IF(C31*D31/144&lt;BDD!$AH$21,B31*BDD!$AH$21,B31*(C31*D31/144)),IF(C31*D31&lt;BDD!$AI$21,B31*BDD!$AH$21,B31*(C31*D31*0.00001076391))))</f>
        <v/>
      </c>
      <c r="L31" s="554" t="str">
        <f>IF(F31="","",IF($M$7="yes",1.3*(IF(F31="DOOR",VLOOKUP(E31,BDD!B:T,14,0), IF(F31="DOOR",VLOOKUP(E31,BDD!B:T,13,0), IF(F31="DOOR",VLOOKUP(E31,BDD!B:T,12,0), IF(F31="DRAWER",VLOOKUP(E31,BDD!B:T,15,0), IF(F31="DRAWER",VLOOKUP(E31,BDD!B:T,16,0),”NOT AV.”)))))),(IF(F31="DOOR",VLOOKUP(E31,BDD!B:T,14,0), IF(F31="DOOR",VLOOKUP(E31,BDD!B:T,13,0), IF(F31="DOOR",VLOOKUP(E31,BDD!B:T,12,0), IF(F31="DRAWER",VLOOKUP(E31,BDD!B:T,15,0), IF(F31="DRAWER",VLOOKUP(E31,BDD!B:T,16,0),”NOT AV.”))))))))</f>
        <v/>
      </c>
      <c r="M31" s="555" t="str">
        <f>IF(L31="","",IF(VLOOKUP(E31,BDD!B:T,17,0)="luxe",$N$43,$N$44))</f>
        <v/>
      </c>
      <c r="N31" s="119" t="str">
        <f t="shared" si="0"/>
        <v/>
      </c>
      <c r="O31" s="149" t="str">
        <f>IF(E31="","",IF(VLOOKUP(E31,BDD!$B$8:$R$100,7,0)="yes","","*"))</f>
        <v/>
      </c>
    </row>
    <row r="32" spans="1:19" ht="20.25" customHeight="1" x14ac:dyDescent="0.25">
      <c r="A32" s="330">
        <v>23</v>
      </c>
      <c r="B32" s="515"/>
      <c r="C32" s="517"/>
      <c r="D32" s="517"/>
      <c r="E32" s="516"/>
      <c r="F32" s="419"/>
      <c r="G32" s="678"/>
      <c r="H32" s="679" t="str">
        <f>IF($E32="","",VLOOKUP(VLOOKUP($E32,BDD!$AV$25:$AX$51,3,0),BDD!$AT:$AU,2,0))</f>
        <v/>
      </c>
      <c r="I32" s="679" t="str">
        <f>IF($E32="","",VLOOKUP(VLOOKUP($E32,BDD!$AV$25:$AX$51,3,0),BDD!$AT:$AU,2,0))</f>
        <v/>
      </c>
      <c r="J32" s="680" t="str">
        <f>IF($E32="","",VLOOKUP(VLOOKUP($E32,BDD!$AV$25:$AX$51,3,0),BDD!$AT:$AU,2,0))</f>
        <v/>
      </c>
      <c r="K32" s="553" t="str">
        <f>IF(C32=0,"",IF($N$7="Inch",IF(C32*D32/144&lt;BDD!$AH$21,B32*BDD!$AH$21,B32*(C32*D32/144)),IF(C32*D32&lt;BDD!$AI$21,B32*BDD!$AH$21,B32*(C32*D32*0.00001076391))))</f>
        <v/>
      </c>
      <c r="L32" s="554" t="str">
        <f>IF(F32="","",IF($M$7="yes",1.3*(IF(F32="DOOR",VLOOKUP(E32,BDD!B:T,14,0), IF(F32="DOOR",VLOOKUP(E32,BDD!B:T,13,0), IF(F32="DOOR",VLOOKUP(E32,BDD!B:T,12,0), IF(F32="DRAWER",VLOOKUP(E32,BDD!B:T,15,0), IF(F32="DRAWER",VLOOKUP(E32,BDD!B:T,16,0),”NOT AV.”)))))),(IF(F32="DOOR",VLOOKUP(E32,BDD!B:T,14,0), IF(F32="DOOR",VLOOKUP(E32,BDD!B:T,13,0), IF(F32="DOOR",VLOOKUP(E32,BDD!B:T,12,0), IF(F32="DRAWER",VLOOKUP(E32,BDD!B:T,15,0), IF(F32="DRAWER",VLOOKUP(E32,BDD!B:T,16,0),”NOT AV.”))))))))</f>
        <v/>
      </c>
      <c r="M32" s="555" t="str">
        <f>IF(L32="","",IF(VLOOKUP(E32,BDD!B:T,17,0)="luxe",$N$43,$N$44))</f>
        <v/>
      </c>
      <c r="N32" s="119" t="str">
        <f t="shared" si="0"/>
        <v/>
      </c>
      <c r="O32" s="149" t="str">
        <f>IF(E32="","",IF(VLOOKUP(E32,BDD!$B$8:$R$100,7,0)="yes","","*"))</f>
        <v/>
      </c>
    </row>
    <row r="33" spans="1:15" ht="20.25" customHeight="1" x14ac:dyDescent="0.25">
      <c r="A33" s="330">
        <v>24</v>
      </c>
      <c r="B33" s="515"/>
      <c r="C33" s="517"/>
      <c r="D33" s="517"/>
      <c r="E33" s="516"/>
      <c r="F33" s="419"/>
      <c r="G33" s="678"/>
      <c r="H33" s="679" t="str">
        <f>IF($E33="","",VLOOKUP(VLOOKUP($E33,BDD!$AV$25:$AX$51,3,0),BDD!$AT:$AU,2,0))</f>
        <v/>
      </c>
      <c r="I33" s="679" t="str">
        <f>IF($E33="","",VLOOKUP(VLOOKUP($E33,BDD!$AV$25:$AX$51,3,0),BDD!$AT:$AU,2,0))</f>
        <v/>
      </c>
      <c r="J33" s="680" t="str">
        <f>IF($E33="","",VLOOKUP(VLOOKUP($E33,BDD!$AV$25:$AX$51,3,0),BDD!$AT:$AU,2,0))</f>
        <v/>
      </c>
      <c r="K33" s="553" t="str">
        <f>IF(C33=0,"",IF($N$7="Inch",IF(C33*D33/144&lt;BDD!$AH$21,B33*BDD!$AH$21,B33*(C33*D33/144)),IF(C33*D33&lt;BDD!$AI$21,B33*BDD!$AH$21,B33*(C33*D33*0.00001076391))))</f>
        <v/>
      </c>
      <c r="L33" s="554" t="str">
        <f>IF(F33="","",IF($M$7="yes",1.3*(IF(F33="DOOR",VLOOKUP(E33,BDD!B:T,14,0), IF(F33="DOOR",VLOOKUP(E33,BDD!B:T,13,0), IF(F33="DOOR",VLOOKUP(E33,BDD!B:T,12,0), IF(F33="DRAWER",VLOOKUP(E33,BDD!B:T,15,0), IF(F33="DRAWER",VLOOKUP(E33,BDD!B:T,16,0),”NOT AV.”)))))),(IF(F33="DOOR",VLOOKUP(E33,BDD!B:T,14,0), IF(F33="DOOR",VLOOKUP(E33,BDD!B:T,13,0), IF(F33="DOOR",VLOOKUP(E33,BDD!B:T,12,0), IF(F33="DRAWER",VLOOKUP(E33,BDD!B:T,15,0), IF(F33="DRAWER",VLOOKUP(E33,BDD!B:T,16,0),”NOT AV.”))))))))</f>
        <v/>
      </c>
      <c r="M33" s="555" t="str">
        <f>IF(L33="","",IF(VLOOKUP(E33,BDD!B:T,17,0)="luxe",$N$43,$N$44))</f>
        <v/>
      </c>
      <c r="N33" s="119" t="str">
        <f t="shared" si="0"/>
        <v/>
      </c>
      <c r="O33" s="149" t="str">
        <f>IF(E33="","",IF(VLOOKUP(E33,BDD!$B$8:$R$100,7,0)="yes","","*"))</f>
        <v/>
      </c>
    </row>
    <row r="34" spans="1:15" ht="20.25" customHeight="1" x14ac:dyDescent="0.25">
      <c r="A34" s="330">
        <v>25</v>
      </c>
      <c r="B34" s="515"/>
      <c r="C34" s="517"/>
      <c r="D34" s="517"/>
      <c r="E34" s="516"/>
      <c r="F34" s="419"/>
      <c r="G34" s="678"/>
      <c r="H34" s="679" t="str">
        <f>IF($E34="","",VLOOKUP(VLOOKUP($E34,BDD!$AV$25:$AX$51,3,0),BDD!$AT:$AU,2,0))</f>
        <v/>
      </c>
      <c r="I34" s="679" t="str">
        <f>IF($E34="","",VLOOKUP(VLOOKUP($E34,BDD!$AV$25:$AX$51,3,0),BDD!$AT:$AU,2,0))</f>
        <v/>
      </c>
      <c r="J34" s="680" t="str">
        <f>IF($E34="","",VLOOKUP(VLOOKUP($E34,BDD!$AV$25:$AX$51,3,0),BDD!$AT:$AU,2,0))</f>
        <v/>
      </c>
      <c r="K34" s="553" t="str">
        <f>IF(C34=0,"",IF($N$7="Inch",IF(C34*D34/144&lt;BDD!$AH$21,B34*BDD!$AH$21,B34*(C34*D34/144)),IF(C34*D34&lt;BDD!$AI$21,B34*BDD!$AH$21,B34*(C34*D34*0.00001076391))))</f>
        <v/>
      </c>
      <c r="L34" s="554" t="str">
        <f>IF(F34="","",IF($M$7="yes",1.3*(IF(F34="DOOR",VLOOKUP(E34,BDD!B:T,14,0), IF(F34="DOOR",VLOOKUP(E34,BDD!B:T,13,0), IF(F34="DOOR",VLOOKUP(E34,BDD!B:T,12,0), IF(F34="DRAWER",VLOOKUP(E34,BDD!B:T,15,0), IF(F34="DRAWER",VLOOKUP(E34,BDD!B:T,16,0),”NOT AV.”)))))),(IF(F34="DOOR",VLOOKUP(E34,BDD!B:T,14,0), IF(F34="DOOR",VLOOKUP(E34,BDD!B:T,13,0), IF(F34="DOOR",VLOOKUP(E34,BDD!B:T,12,0), IF(F34="DRAWER",VLOOKUP(E34,BDD!B:T,15,0), IF(F34="DRAWER",VLOOKUP(E34,BDD!B:T,16,0),”NOT AV.”))))))))</f>
        <v/>
      </c>
      <c r="M34" s="555" t="str">
        <f>IF(L34="","",IF(VLOOKUP(E34,BDD!B:T,17,0)="luxe",$N$43,$N$44))</f>
        <v/>
      </c>
      <c r="N34" s="119" t="str">
        <f t="shared" si="0"/>
        <v/>
      </c>
      <c r="O34" s="149" t="str">
        <f>IF(E34="","",IF(VLOOKUP(E34,BDD!$B$8:$R$100,7,0)="yes","","*"))</f>
        <v/>
      </c>
    </row>
    <row r="35" spans="1:15" ht="20.25" customHeight="1" x14ac:dyDescent="0.25">
      <c r="A35" s="330">
        <v>26</v>
      </c>
      <c r="B35" s="515"/>
      <c r="C35" s="517"/>
      <c r="D35" s="517"/>
      <c r="E35" s="516"/>
      <c r="F35" s="419"/>
      <c r="G35" s="678"/>
      <c r="H35" s="679" t="str">
        <f>IF($E35="","",VLOOKUP(VLOOKUP($E35,BDD!$AV$25:$AX$51,3,0),BDD!$AT:$AU,2,0))</f>
        <v/>
      </c>
      <c r="I35" s="679" t="str">
        <f>IF($E35="","",VLOOKUP(VLOOKUP($E35,BDD!$AV$25:$AX$51,3,0),BDD!$AT:$AU,2,0))</f>
        <v/>
      </c>
      <c r="J35" s="680" t="str">
        <f>IF($E35="","",VLOOKUP(VLOOKUP($E35,BDD!$AV$25:$AX$51,3,0),BDD!$AT:$AU,2,0))</f>
        <v/>
      </c>
      <c r="K35" s="553" t="str">
        <f>IF(C35=0,"",IF($N$7="Inch",IF(C35*D35/144&lt;BDD!$AH$21,B35*BDD!$AH$21,B35*(C35*D35/144)),IF(C35*D35&lt;BDD!$AI$21,B35*BDD!$AH$21,B35*(C35*D35*0.00001076391))))</f>
        <v/>
      </c>
      <c r="L35" s="554" t="str">
        <f>IF(F35="","",IF($M$7="yes",1.3*(IF(F35="DOOR",VLOOKUP(E35,BDD!B:T,14,0), IF(F35="DOOR",VLOOKUP(E35,BDD!B:T,13,0), IF(F35="DOOR",VLOOKUP(E35,BDD!B:T,12,0), IF(F35="DRAWER",VLOOKUP(E35,BDD!B:T,15,0), IF(F35="DRAWER",VLOOKUP(E35,BDD!B:T,16,0),”NOT AV.”)))))),(IF(F35="DOOR",VLOOKUP(E35,BDD!B:T,14,0), IF(F35="DOOR",VLOOKUP(E35,BDD!B:T,13,0), IF(F35="DOOR",VLOOKUP(E35,BDD!B:T,12,0), IF(F35="DRAWER",VLOOKUP(E35,BDD!B:T,15,0), IF(F35="DRAWER",VLOOKUP(E35,BDD!B:T,16,0),”NOT AV.”))))))))</f>
        <v/>
      </c>
      <c r="M35" s="555" t="str">
        <f>IF(L35="","",IF(VLOOKUP(E35,BDD!B:T,17,0)="luxe",$N$43,$N$44))</f>
        <v/>
      </c>
      <c r="N35" s="119" t="str">
        <f t="shared" si="0"/>
        <v/>
      </c>
      <c r="O35" s="149" t="str">
        <f>IF(E35="","",IF(VLOOKUP(E35,BDD!$B$8:$R$100,7,0)="yes","","*"))</f>
        <v/>
      </c>
    </row>
    <row r="36" spans="1:15" ht="20.25" customHeight="1" x14ac:dyDescent="0.25">
      <c r="A36" s="330">
        <v>27</v>
      </c>
      <c r="B36" s="515"/>
      <c r="C36" s="517"/>
      <c r="D36" s="517"/>
      <c r="E36" s="516"/>
      <c r="F36" s="419"/>
      <c r="G36" s="678"/>
      <c r="H36" s="679" t="str">
        <f>IF($E36="","",VLOOKUP(VLOOKUP($E36,BDD!$AV$25:$AX$51,3,0),BDD!$AT:$AU,2,0))</f>
        <v/>
      </c>
      <c r="I36" s="679" t="str">
        <f>IF($E36="","",VLOOKUP(VLOOKUP($E36,BDD!$AV$25:$AX$51,3,0),BDD!$AT:$AU,2,0))</f>
        <v/>
      </c>
      <c r="J36" s="680" t="str">
        <f>IF($E36="","",VLOOKUP(VLOOKUP($E36,BDD!$AV$25:$AX$51,3,0),BDD!$AT:$AU,2,0))</f>
        <v/>
      </c>
      <c r="K36" s="553" t="str">
        <f>IF(C36=0,"",IF($N$7="Inch",IF(C36*D36/144&lt;BDD!$AH$21,B36*BDD!$AH$21,B36*(C36*D36/144)),IF(C36*D36&lt;BDD!$AI$21,B36*BDD!$AH$21,B36*(C36*D36*0.00001076391))))</f>
        <v/>
      </c>
      <c r="L36" s="554" t="str">
        <f>IF(F36="","",IF($M$7="yes",1.3*(IF(F36="DOOR",VLOOKUP(E36,BDD!B:T,14,0), IF(F36="DOOR",VLOOKUP(E36,BDD!B:T,13,0), IF(F36="DOOR",VLOOKUP(E36,BDD!B:T,12,0), IF(F36="DRAWER",VLOOKUP(E36,BDD!B:T,15,0), IF(F36="DRAWER",VLOOKUP(E36,BDD!B:T,16,0),”NOT AV.”)))))),(IF(F36="DOOR",VLOOKUP(E36,BDD!B:T,14,0), IF(F36="DOOR",VLOOKUP(E36,BDD!B:T,13,0), IF(F36="DOOR",VLOOKUP(E36,BDD!B:T,12,0), IF(F36="DRAWER",VLOOKUP(E36,BDD!B:T,15,0), IF(F36="DRAWER",VLOOKUP(E36,BDD!B:T,16,0),”NOT AV.”))))))))</f>
        <v/>
      </c>
      <c r="M36" s="555" t="str">
        <f>IF(L36="","",IF(VLOOKUP(E36,BDD!B:T,17,0)="luxe",$N$43,$N$44))</f>
        <v/>
      </c>
      <c r="N36" s="119" t="str">
        <f t="shared" si="0"/>
        <v/>
      </c>
      <c r="O36" s="149" t="str">
        <f>IF(E36="","",IF(VLOOKUP(E36,BDD!$B$8:$R$100,7,0)="yes","","*"))</f>
        <v/>
      </c>
    </row>
    <row r="37" spans="1:15" ht="20.25" customHeight="1" x14ac:dyDescent="0.25">
      <c r="A37" s="330">
        <v>28</v>
      </c>
      <c r="B37" s="515"/>
      <c r="C37" s="517"/>
      <c r="D37" s="517"/>
      <c r="E37" s="516"/>
      <c r="F37" s="419"/>
      <c r="G37" s="678"/>
      <c r="H37" s="679" t="str">
        <f>IF($E37="","",VLOOKUP(VLOOKUP($E37,BDD!$AV$25:$AX$51,3,0),BDD!$AT:$AU,2,0))</f>
        <v/>
      </c>
      <c r="I37" s="679" t="str">
        <f>IF($E37="","",VLOOKUP(VLOOKUP($E37,BDD!$AV$25:$AX$51,3,0),BDD!$AT:$AU,2,0))</f>
        <v/>
      </c>
      <c r="J37" s="680" t="str">
        <f>IF($E37="","",VLOOKUP(VLOOKUP($E37,BDD!$AV$25:$AX$51,3,0),BDD!$AT:$AU,2,0))</f>
        <v/>
      </c>
      <c r="K37" s="553" t="str">
        <f>IF(C37=0,"",IF($N$7="Inch",IF(C37*D37/144&lt;BDD!$AH$21,B37*BDD!$AH$21,B37*(C37*D37/144)),IF(C37*D37&lt;BDD!$AI$21,B37*BDD!$AH$21,B37*(C37*D37*0.00001076391))))</f>
        <v/>
      </c>
      <c r="L37" s="554" t="str">
        <f>IF(F37="","",IF($M$7="yes",1.3*(IF(F37="DOOR",VLOOKUP(E37,BDD!B:T,14,0), IF(F37="DOOR",VLOOKUP(E37,BDD!B:T,13,0), IF(F37="DOOR",VLOOKUP(E37,BDD!B:T,12,0), IF(F37="DRAWER",VLOOKUP(E37,BDD!B:T,15,0), IF(F37="DRAWER",VLOOKUP(E37,BDD!B:T,16,0),”NOT AV.”)))))),(IF(F37="DOOR",VLOOKUP(E37,BDD!B:T,14,0), IF(F37="DOOR",VLOOKUP(E37,BDD!B:T,13,0), IF(F37="DOOR",VLOOKUP(E37,BDD!B:T,12,0), IF(F37="DRAWER",VLOOKUP(E37,BDD!B:T,15,0), IF(F37="DRAWER",VLOOKUP(E37,BDD!B:T,16,0),”NOT AV.”))))))))</f>
        <v/>
      </c>
      <c r="M37" s="555" t="str">
        <f>IF(L37="","",IF(VLOOKUP(E37,BDD!B:T,17,0)="luxe",$N$43,$N$44))</f>
        <v/>
      </c>
      <c r="N37" s="119" t="str">
        <f t="shared" si="0"/>
        <v/>
      </c>
      <c r="O37" s="149" t="str">
        <f>IF(E37="","",IF(VLOOKUP(E37,BDD!$B$8:$R$100,7,0)="yes","","*"))</f>
        <v/>
      </c>
    </row>
    <row r="38" spans="1:15" ht="20.25" customHeight="1" x14ac:dyDescent="0.25">
      <c r="A38" s="330">
        <v>29</v>
      </c>
      <c r="B38" s="515"/>
      <c r="C38" s="517"/>
      <c r="D38" s="517"/>
      <c r="E38" s="516"/>
      <c r="F38" s="419"/>
      <c r="G38" s="678"/>
      <c r="H38" s="679" t="str">
        <f>IF($E38="","",VLOOKUP(VLOOKUP($E38,BDD!$AV$25:$AX$51,3,0),BDD!$AT:$AU,2,0))</f>
        <v/>
      </c>
      <c r="I38" s="679" t="str">
        <f>IF($E38="","",VLOOKUP(VLOOKUP($E38,BDD!$AV$25:$AX$51,3,0),BDD!$AT:$AU,2,0))</f>
        <v/>
      </c>
      <c r="J38" s="680" t="str">
        <f>IF($E38="","",VLOOKUP(VLOOKUP($E38,BDD!$AV$25:$AX$51,3,0),BDD!$AT:$AU,2,0))</f>
        <v/>
      </c>
      <c r="K38" s="553" t="str">
        <f>IF(C38=0,"",IF($N$7="Inch",IF(C38*D38/144&lt;BDD!$AH$21,B38*BDD!$AH$21,B38*(C38*D38/144)),IF(C38*D38&lt;BDD!$AI$21,B38*BDD!$AH$21,B38*(C38*D38*0.00001076391))))</f>
        <v/>
      </c>
      <c r="L38" s="554" t="str">
        <f>IF(F38="","",IF($M$7="yes",1.3*(IF(F38="DOOR",VLOOKUP(E38,BDD!B:T,14,0), IF(F38="DOOR",VLOOKUP(E38,BDD!B:T,13,0), IF(F38="DOOR",VLOOKUP(E38,BDD!B:T,12,0), IF(F38="DRAWER",VLOOKUP(E38,BDD!B:T,15,0), IF(F38="DRAWER",VLOOKUP(E38,BDD!B:T,16,0),”NOT AV.”)))))),(IF(F38="DOOR",VLOOKUP(E38,BDD!B:T,14,0), IF(F38="DOOR",VLOOKUP(E38,BDD!B:T,13,0), IF(F38="DOOR",VLOOKUP(E38,BDD!B:T,12,0), IF(F38="DRAWER",VLOOKUP(E38,BDD!B:T,15,0), IF(F38="DRAWER",VLOOKUP(E38,BDD!B:T,16,0),”NOT AV.”))))))))</f>
        <v/>
      </c>
      <c r="M38" s="555" t="str">
        <f>IF(L38="","",IF(VLOOKUP(E38,BDD!B:T,17,0)="luxe",$N$43,$N$44))</f>
        <v/>
      </c>
      <c r="N38" s="119" t="str">
        <f t="shared" si="0"/>
        <v/>
      </c>
      <c r="O38" s="149" t="str">
        <f>IF(E38="","",IF(VLOOKUP(E38,BDD!$B$8:$R$100,7,0)="yes","","*"))</f>
        <v/>
      </c>
    </row>
    <row r="39" spans="1:15" ht="20.25" customHeight="1" thickBot="1" x14ac:dyDescent="0.3">
      <c r="A39" s="331">
        <v>30</v>
      </c>
      <c r="B39" s="592"/>
      <c r="C39" s="593"/>
      <c r="D39" s="593"/>
      <c r="E39" s="594"/>
      <c r="F39" s="595"/>
      <c r="G39" s="675"/>
      <c r="H39" s="676" t="str">
        <f>IF($E39="","",VLOOKUP(VLOOKUP($E39,BDD!$AV$25:$AX$51,3,0),BDD!$AT:$AU,2,0))</f>
        <v/>
      </c>
      <c r="I39" s="676" t="str">
        <f>IF($E39="","",VLOOKUP(VLOOKUP($E39,BDD!$AV$25:$AX$51,3,0),BDD!$AT:$AU,2,0))</f>
        <v/>
      </c>
      <c r="J39" s="677" t="str">
        <f>IF($E39="","",VLOOKUP(VLOOKUP($E39,BDD!$AV$25:$AX$51,3,0),BDD!$AT:$AU,2,0))</f>
        <v/>
      </c>
      <c r="K39" s="559" t="str">
        <f>IF(C39=0,"",IF($N$7="Inch",IF(C39*D39/144&lt;BDD!$AH$21,B39*BDD!$AH$21,B39*(C39*D39/144)),IF(C39*D39&lt;BDD!$AI$21,B39*BDD!$AH$21,B39*(C39*D39*0.00001076391))))</f>
        <v/>
      </c>
      <c r="L39" s="174" t="str">
        <f>IF(F39="","",IF($M$7="yes",1.3*(IF(F39="DOOR",VLOOKUP(E39,BDD!B:T,14,0), IF(F39="DOOR",VLOOKUP(E39,BDD!B:T,13,0), IF(F39="DOOR",VLOOKUP(E39,BDD!B:T,12,0), IF(F39="DRAWER",VLOOKUP(E39,BDD!B:T,15,0), IF(F39="DRAWER",VLOOKUP(E39,BDD!B:T,16,0),”NOT AV.”)))))),(IF(F39="DOOR",VLOOKUP(E39,BDD!B:T,14,0), IF(F39="DOOR",VLOOKUP(E39,BDD!B:T,13,0), IF(F39="DOOR",VLOOKUP(E39,BDD!B:T,12,0), IF(F39="DRAWER",VLOOKUP(E39,BDD!B:T,15,0), IF(F39="DRAWER",VLOOKUP(E39,BDD!B:T,16,0),”NOT AV.”))))))))</f>
        <v/>
      </c>
      <c r="M39" s="172" t="str">
        <f>IF(L39="","",IF(VLOOKUP(E39,BDD!B:T,17,0)="luxe",$N$43,$N$44))</f>
        <v/>
      </c>
      <c r="N39" s="173" t="str">
        <f t="shared" si="0"/>
        <v/>
      </c>
      <c r="O39" s="149" t="str">
        <f>IF(E39="","",IF(VLOOKUP(E39,BDD!$B$8:$R$100,7,0)="yes","","*"))</f>
        <v/>
      </c>
    </row>
    <row r="40" spans="1:15" ht="20.100000000000001" customHeight="1" x14ac:dyDescent="0.3">
      <c r="A40" s="32"/>
      <c r="B40" s="47">
        <f>SUM(B10:B39)</f>
        <v>0</v>
      </c>
      <c r="C40" s="608" t="s">
        <v>85</v>
      </c>
      <c r="D40" s="608"/>
      <c r="E40" s="29"/>
      <c r="F40" s="29"/>
      <c r="G40" s="29"/>
      <c r="H40" s="29"/>
      <c r="I40" s="29"/>
      <c r="J40" s="49" t="s">
        <v>86</v>
      </c>
      <c r="K40" s="50">
        <f>SUM(K10:K39)</f>
        <v>0</v>
      </c>
      <c r="L40" s="702" t="s">
        <v>87</v>
      </c>
      <c r="M40" s="702"/>
      <c r="N40" s="48">
        <f>SUM(N10:N39)</f>
        <v>0</v>
      </c>
      <c r="O40" s="32"/>
    </row>
    <row r="41" spans="1:15" ht="20.100000000000001" customHeight="1" thickBot="1" x14ac:dyDescent="0.3">
      <c r="A41" s="32"/>
      <c r="B41" s="621" t="str">
        <f>IF(COUNTBLANK(O10:O39)=30,"", "NOTE: Some references which are not in Stock. Delivery time will be 8 to 10 weeks")</f>
        <v/>
      </c>
      <c r="C41" s="621"/>
      <c r="D41" s="621"/>
      <c r="E41" s="621"/>
      <c r="F41" s="621"/>
      <c r="G41" s="621"/>
      <c r="H41" s="621"/>
      <c r="I41" s="621"/>
      <c r="J41" s="621"/>
      <c r="K41" s="616" t="s">
        <v>226</v>
      </c>
      <c r="L41" s="616"/>
      <c r="M41" s="617">
        <f>N40+'Panel order'!L40+'Edge order'!N40+'Doors order'!N40</f>
        <v>0</v>
      </c>
      <c r="N41" s="617"/>
      <c r="O41" s="32"/>
    </row>
    <row r="42" spans="1:15" ht="18.75" customHeight="1" x14ac:dyDescent="0.25">
      <c r="A42" s="626" t="s">
        <v>19</v>
      </c>
      <c r="B42" s="627"/>
      <c r="C42" s="627"/>
      <c r="D42" s="627"/>
      <c r="E42" s="627"/>
      <c r="F42" s="627"/>
      <c r="G42" s="627"/>
      <c r="H42" s="628"/>
      <c r="I42" s="618" t="s">
        <v>20</v>
      </c>
      <c r="J42" s="619"/>
      <c r="K42" s="619"/>
      <c r="L42" s="620"/>
      <c r="M42" s="632" t="s">
        <v>88</v>
      </c>
      <c r="N42" s="633"/>
      <c r="O42" s="32"/>
    </row>
    <row r="43" spans="1:15" ht="18.75" customHeight="1" x14ac:dyDescent="0.25">
      <c r="A43" s="610"/>
      <c r="B43" s="611"/>
      <c r="C43" s="611"/>
      <c r="D43" s="611"/>
      <c r="E43" s="611"/>
      <c r="F43" s="611"/>
      <c r="G43" s="611"/>
      <c r="H43" s="612"/>
      <c r="I43" s="622" t="s">
        <v>90</v>
      </c>
      <c r="J43" s="623"/>
      <c r="K43" s="623"/>
      <c r="L43" s="54"/>
      <c r="M43" s="24" t="s">
        <v>67</v>
      </c>
      <c r="N43" s="46">
        <v>0</v>
      </c>
      <c r="O43" s="32"/>
    </row>
    <row r="44" spans="1:15" ht="18.75" customHeight="1" thickBot="1" x14ac:dyDescent="0.3">
      <c r="A44" s="613"/>
      <c r="B44" s="614"/>
      <c r="C44" s="614"/>
      <c r="D44" s="614"/>
      <c r="E44" s="614"/>
      <c r="F44" s="614"/>
      <c r="G44" s="614"/>
      <c r="H44" s="615"/>
      <c r="I44" s="624"/>
      <c r="J44" s="625"/>
      <c r="K44" s="625"/>
      <c r="L44" s="55"/>
      <c r="M44" s="23" t="s">
        <v>215</v>
      </c>
      <c r="N44" s="53">
        <v>0</v>
      </c>
      <c r="O44" s="32"/>
    </row>
    <row r="45" spans="1:15" ht="23.1" customHeight="1" x14ac:dyDescent="0.25">
      <c r="A45" s="603" t="s">
        <v>321</v>
      </c>
      <c r="B45" s="603"/>
      <c r="C45" s="603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3"/>
      <c r="O45" s="32"/>
    </row>
    <row r="46" spans="1:15" ht="18.75" customHeight="1" x14ac:dyDescent="0.25">
      <c r="A46" s="32"/>
      <c r="B46" s="91"/>
      <c r="C46" s="32"/>
      <c r="D46" s="32"/>
      <c r="E46" s="105"/>
      <c r="F46" s="105"/>
      <c r="G46" s="32"/>
      <c r="H46" s="32"/>
      <c r="I46" s="32"/>
      <c r="J46" s="32"/>
      <c r="K46" s="150"/>
      <c r="L46" s="32"/>
      <c r="M46" s="32"/>
      <c r="N46" s="32"/>
      <c r="O46" s="32"/>
    </row>
    <row r="47" spans="1:15" x14ac:dyDescent="0.25">
      <c r="A47" s="32"/>
      <c r="B47" s="91"/>
      <c r="C47" s="32"/>
      <c r="D47" s="32"/>
      <c r="E47" s="32"/>
      <c r="F47" s="105"/>
      <c r="G47" s="32"/>
      <c r="H47" s="32"/>
      <c r="I47" s="32"/>
      <c r="J47" s="32"/>
      <c r="K47" s="150"/>
      <c r="L47" s="32"/>
      <c r="M47" s="32"/>
      <c r="N47" s="32"/>
      <c r="O47" s="32"/>
    </row>
    <row r="48" spans="1:15" x14ac:dyDescent="0.25">
      <c r="K48" s="16"/>
      <c r="L48"/>
      <c r="M48"/>
      <c r="N48"/>
      <c r="O48"/>
    </row>
    <row r="49" spans="2:255" ht="18.75" x14ac:dyDescent="0.25">
      <c r="B49" s="514"/>
      <c r="K49" s="17"/>
      <c r="L49" s="18"/>
      <c r="M49" s="18"/>
      <c r="N49" s="18"/>
      <c r="O49" s="18"/>
    </row>
    <row r="50" spans="2:255" x14ac:dyDescent="0.25">
      <c r="K50"/>
      <c r="L50"/>
      <c r="M50"/>
      <c r="N50"/>
      <c r="O50"/>
      <c r="Q50" s="2"/>
      <c r="R50" s="2"/>
      <c r="S50" s="2"/>
    </row>
    <row r="51" spans="2:255" s="2" customFormat="1" ht="18.75" x14ac:dyDescent="0.25">
      <c r="B51" s="6"/>
      <c r="D51" s="19"/>
      <c r="E51" s="19"/>
      <c r="F51" s="121"/>
      <c r="G51" s="121"/>
      <c r="H51" s="121"/>
      <c r="I51" s="121"/>
      <c r="M51" s="33"/>
      <c r="N51" s="34"/>
      <c r="O51" s="34"/>
    </row>
    <row r="52" spans="2:255" s="2" customFormat="1" ht="15.75" x14ac:dyDescent="0.25">
      <c r="B52" s="7"/>
      <c r="C52" s="14"/>
      <c r="D52" s="3"/>
      <c r="E52" s="4"/>
      <c r="F52" s="4"/>
      <c r="H52" s="121"/>
      <c r="M52"/>
      <c r="N52"/>
      <c r="O52"/>
    </row>
    <row r="53" spans="2:255" s="2" customFormat="1" ht="15.75" x14ac:dyDescent="0.25">
      <c r="B53" s="7"/>
      <c r="C53" s="14"/>
      <c r="D53" s="3"/>
      <c r="E53" s="4"/>
      <c r="F53" s="4"/>
      <c r="H53" s="121"/>
      <c r="M53" s="36"/>
      <c r="N53" s="36"/>
      <c r="O53" s="36"/>
    </row>
    <row r="54" spans="2:255" s="2" customFormat="1" ht="15.75" x14ac:dyDescent="0.25">
      <c r="B54" s="7"/>
      <c r="C54" s="14"/>
      <c r="E54" s="4"/>
      <c r="F54" s="4"/>
      <c r="H54" s="121"/>
      <c r="M54" s="42"/>
      <c r="N54" s="42"/>
      <c r="O54" s="42"/>
    </row>
    <row r="55" spans="2:255" s="2" customFormat="1" ht="15.75" x14ac:dyDescent="0.25">
      <c r="B55" s="7"/>
      <c r="C55" s="14"/>
      <c r="E55" s="4"/>
      <c r="F55" s="121"/>
      <c r="H55" s="121"/>
      <c r="M55" s="15"/>
      <c r="N55" s="37"/>
      <c r="O55" s="37"/>
    </row>
    <row r="56" spans="2:255" s="2" customFormat="1" ht="15.75" x14ac:dyDescent="0.25">
      <c r="B56" s="7"/>
      <c r="C56" s="14"/>
      <c r="E56" s="4"/>
      <c r="M56" s="15"/>
      <c r="N56" s="37"/>
      <c r="O56" s="37"/>
      <c r="Q56"/>
      <c r="R56"/>
      <c r="S56"/>
    </row>
    <row r="57" spans="2:255" s="2" customFormat="1" ht="15.75" x14ac:dyDescent="0.25">
      <c r="B57" s="7"/>
      <c r="C57" s="14"/>
      <c r="E57" s="4"/>
      <c r="M57" s="15"/>
      <c r="N57" s="37"/>
      <c r="O57" s="3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2:255" s="2" customFormat="1" ht="15.75" x14ac:dyDescent="0.25">
      <c r="B58" s="7"/>
      <c r="C58" s="14"/>
      <c r="E58" s="4"/>
      <c r="M58" s="42"/>
      <c r="N58" s="42"/>
      <c r="O58" s="4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2:255" s="2" customFormat="1" ht="15.75" x14ac:dyDescent="0.25">
      <c r="B59" s="7"/>
      <c r="C59" s="14"/>
      <c r="E59" s="4"/>
      <c r="M59" s="15"/>
      <c r="N59" s="37"/>
      <c r="O59" s="37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2:255" s="2" customFormat="1" ht="15.75" x14ac:dyDescent="0.25">
      <c r="B60" s="7"/>
      <c r="C60" s="14"/>
      <c r="E60" s="4"/>
      <c r="M60" s="15"/>
      <c r="N60" s="37"/>
      <c r="O60" s="37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2:255" s="2" customFormat="1" ht="15.75" x14ac:dyDescent="0.25">
      <c r="B61" s="7"/>
      <c r="C61" s="14"/>
      <c r="E61" s="4"/>
      <c r="M61" s="15"/>
      <c r="N61" s="37"/>
      <c r="O61" s="37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2:255" s="2" customFormat="1" ht="15.75" x14ac:dyDescent="0.25">
      <c r="B62" s="7"/>
      <c r="C62" s="14"/>
      <c r="E62" s="4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2:255" s="2" customFormat="1" ht="18.75" x14ac:dyDescent="0.25">
      <c r="B63" s="7"/>
      <c r="C63" s="14"/>
      <c r="E63" s="4"/>
      <c r="M63" s="33"/>
      <c r="N63" s="34"/>
      <c r="O63" s="3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2:255" s="2" customFormat="1" ht="15.75" x14ac:dyDescent="0.25">
      <c r="B64" s="7"/>
      <c r="C64" s="14"/>
      <c r="E64" s="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2:255" s="2" customFormat="1" ht="15.75" x14ac:dyDescent="0.25">
      <c r="B65" s="7"/>
      <c r="C65" s="14"/>
      <c r="E65" s="4"/>
      <c r="M65" s="36"/>
      <c r="N65" s="36"/>
      <c r="O65" s="3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2:255" s="2" customFormat="1" ht="15.75" x14ac:dyDescent="0.25">
      <c r="B66" s="7"/>
      <c r="C66" s="14"/>
      <c r="E66" s="4"/>
      <c r="M66" s="38"/>
      <c r="N66" s="37"/>
      <c r="O66" s="37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2:255" s="2" customFormat="1" ht="15.75" x14ac:dyDescent="0.25">
      <c r="B67" s="7"/>
      <c r="C67" s="14"/>
      <c r="E67" s="4"/>
      <c r="M67" s="38"/>
      <c r="N67" s="37"/>
      <c r="O67" s="3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2:255" s="2" customFormat="1" ht="15.75" x14ac:dyDescent="0.25">
      <c r="B68" s="7"/>
      <c r="C68" s="14"/>
      <c r="E68" s="4"/>
      <c r="M68" s="38"/>
      <c r="N68" s="37"/>
      <c r="O68" s="37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2:255" s="2" customFormat="1" ht="15.75" x14ac:dyDescent="0.25">
      <c r="B69" s="7"/>
      <c r="C69" s="14"/>
      <c r="E69" s="4"/>
      <c r="M69" s="38"/>
      <c r="N69" s="39"/>
      <c r="O69" s="3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2:255" s="2" customFormat="1" ht="15.75" x14ac:dyDescent="0.25">
      <c r="B70" s="7"/>
      <c r="C70" s="14"/>
      <c r="E70" s="4"/>
      <c r="M70" s="38"/>
      <c r="N70" s="39"/>
      <c r="O70" s="3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2:255" s="2" customFormat="1" ht="15.75" x14ac:dyDescent="0.25">
      <c r="B71" s="7"/>
      <c r="C71" s="14"/>
      <c r="E71" s="4"/>
      <c r="M71" s="38"/>
      <c r="N71" s="39"/>
      <c r="O71" s="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2:255" s="2" customFormat="1" ht="15.75" x14ac:dyDescent="0.25">
      <c r="B72" s="7"/>
      <c r="C72" s="14"/>
      <c r="E72" s="4"/>
      <c r="M72" s="38"/>
      <c r="N72" s="39"/>
      <c r="O72" s="3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255" s="2" customFormat="1" ht="15.75" x14ac:dyDescent="0.25">
      <c r="B73" s="7"/>
      <c r="C73" s="14"/>
      <c r="E73" s="4"/>
      <c r="M73" s="40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:255" s="2" customFormat="1" ht="18.75" x14ac:dyDescent="0.25">
      <c r="B74" s="7"/>
      <c r="C74" s="14"/>
      <c r="E74" s="4"/>
      <c r="M74" s="33"/>
      <c r="N74" s="35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2:255" s="2" customFormat="1" ht="15.75" x14ac:dyDescent="0.25">
      <c r="B75" s="6"/>
      <c r="C75" s="14"/>
      <c r="E75" s="4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2:255" s="2" customFormat="1" ht="15.75" x14ac:dyDescent="0.25">
      <c r="B76" s="6"/>
      <c r="C76" s="5"/>
      <c r="E76" s="4"/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2:255" s="2" customFormat="1" ht="15.75" x14ac:dyDescent="0.25">
      <c r="B77" s="6"/>
      <c r="C77" s="5"/>
      <c r="E77" s="4"/>
      <c r="M77" s="38"/>
      <c r="N77" s="15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2:255" s="2" customFormat="1" ht="15.75" x14ac:dyDescent="0.25">
      <c r="B78" s="6"/>
      <c r="C78" s="5"/>
      <c r="E78" s="4"/>
      <c r="M78" s="38"/>
      <c r="N78" s="15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:255" s="2" customFormat="1" ht="15.75" x14ac:dyDescent="0.25">
      <c r="B79" s="7"/>
      <c r="C79" s="5"/>
      <c r="E79" s="4"/>
      <c r="M79" s="38"/>
      <c r="N79" s="15"/>
      <c r="P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s="2" customFormat="1" ht="15.75" x14ac:dyDescent="0.25">
      <c r="B80" s="7"/>
      <c r="C80" s="5"/>
      <c r="E80" s="4"/>
      <c r="M80" s="38"/>
      <c r="N80" s="15"/>
    </row>
    <row r="81" spans="2:15" s="2" customFormat="1" ht="15.75" x14ac:dyDescent="0.25">
      <c r="B81" s="7"/>
      <c r="C81" s="5"/>
      <c r="E81" s="4"/>
    </row>
    <row r="82" spans="2:15" s="2" customFormat="1" ht="18.75" x14ac:dyDescent="0.25">
      <c r="B82" s="7"/>
      <c r="C82" s="5"/>
      <c r="E82" s="4"/>
      <c r="M82" s="33"/>
      <c r="N82" s="34"/>
      <c r="O82" s="35"/>
    </row>
    <row r="83" spans="2:15" s="2" customFormat="1" ht="15.75" x14ac:dyDescent="0.25">
      <c r="B83" s="7"/>
      <c r="C83" s="5"/>
      <c r="E83" s="4"/>
      <c r="M83"/>
      <c r="N83"/>
      <c r="O83"/>
    </row>
    <row r="84" spans="2:15" s="2" customFormat="1" ht="15.75" x14ac:dyDescent="0.25">
      <c r="B84" s="7"/>
      <c r="C84" s="21"/>
      <c r="E84" s="4"/>
      <c r="M84" s="36"/>
      <c r="N84" s="36"/>
      <c r="O84" s="36"/>
    </row>
    <row r="85" spans="2:15" s="2" customFormat="1" ht="15.75" x14ac:dyDescent="0.25">
      <c r="B85" s="7"/>
      <c r="C85" s="20"/>
      <c r="E85" s="4"/>
      <c r="M85" s="22"/>
      <c r="N85" s="37"/>
      <c r="O85" s="37"/>
    </row>
    <row r="86" spans="2:15" s="2" customFormat="1" ht="15.75" x14ac:dyDescent="0.25">
      <c r="B86" s="7"/>
      <c r="C86" s="20"/>
      <c r="E86" s="4"/>
      <c r="M86" s="22"/>
      <c r="N86" s="37"/>
      <c r="O86" s="37"/>
    </row>
    <row r="87" spans="2:15" s="2" customFormat="1" ht="15.75" x14ac:dyDescent="0.25">
      <c r="B87" s="7"/>
      <c r="C87" s="20"/>
      <c r="E87" s="4"/>
      <c r="M87" s="12"/>
      <c r="N87" s="41"/>
      <c r="O87" s="41"/>
    </row>
    <row r="88" spans="2:15" s="2" customFormat="1" ht="15.75" x14ac:dyDescent="0.25">
      <c r="B88" s="7"/>
      <c r="C88" s="20"/>
      <c r="E88" s="4"/>
      <c r="M88" s="22"/>
      <c r="N88" s="37"/>
      <c r="O88" s="37"/>
    </row>
    <row r="89" spans="2:15" s="2" customFormat="1" ht="15.75" x14ac:dyDescent="0.25">
      <c r="B89" s="6"/>
      <c r="E89" s="4"/>
    </row>
    <row r="90" spans="2:15" s="2" customFormat="1" ht="18.75" x14ac:dyDescent="0.25">
      <c r="B90" s="6"/>
      <c r="E90" s="4"/>
      <c r="M90" s="33"/>
      <c r="N90" s="34"/>
      <c r="O90" s="35"/>
    </row>
    <row r="91" spans="2:15" s="2" customFormat="1" ht="15.75" x14ac:dyDescent="0.25">
      <c r="B91" s="6"/>
      <c r="E91" s="4"/>
      <c r="M91"/>
      <c r="N91"/>
      <c r="O91"/>
    </row>
    <row r="92" spans="2:15" s="2" customFormat="1" ht="15.75" x14ac:dyDescent="0.25">
      <c r="B92" s="6"/>
      <c r="E92" s="4"/>
      <c r="M92" s="36"/>
      <c r="N92" s="36"/>
      <c r="O92" s="36"/>
    </row>
    <row r="93" spans="2:15" s="2" customFormat="1" ht="15.75" x14ac:dyDescent="0.25">
      <c r="B93" s="6"/>
      <c r="E93" s="4"/>
      <c r="M93" s="38"/>
      <c r="N93" s="15"/>
      <c r="O93" s="15"/>
    </row>
    <row r="94" spans="2:15" s="2" customFormat="1" ht="15.75" x14ac:dyDescent="0.25">
      <c r="B94" s="6"/>
      <c r="E94" s="4"/>
      <c r="M94" s="38"/>
      <c r="N94" s="15"/>
      <c r="O94" s="15"/>
    </row>
    <row r="95" spans="2:15" s="2" customFormat="1" ht="15.75" x14ac:dyDescent="0.25">
      <c r="B95" s="6"/>
      <c r="E95" s="4"/>
    </row>
    <row r="96" spans="2:15" s="2" customFormat="1" ht="18.75" x14ac:dyDescent="0.25">
      <c r="B96" s="6"/>
      <c r="E96" s="4"/>
      <c r="M96" s="33"/>
      <c r="N96" s="33"/>
      <c r="O96" s="35"/>
    </row>
    <row r="97" spans="2:15" s="2" customFormat="1" ht="15.75" x14ac:dyDescent="0.25">
      <c r="B97" s="6"/>
      <c r="E97" s="4"/>
      <c r="M97"/>
      <c r="N97"/>
      <c r="O97"/>
    </row>
    <row r="98" spans="2:15" s="2" customFormat="1" ht="15.75" x14ac:dyDescent="0.25">
      <c r="B98" s="6"/>
      <c r="E98" s="4"/>
      <c r="M98" s="43"/>
      <c r="N98" s="43"/>
      <c r="O98" s="36"/>
    </row>
    <row r="99" spans="2:15" s="2" customFormat="1" ht="15.75" x14ac:dyDescent="0.25">
      <c r="B99" s="6"/>
      <c r="E99" s="4"/>
      <c r="M99" s="11"/>
      <c r="N99" s="11"/>
      <c r="O99" s="15"/>
    </row>
    <row r="100" spans="2:15" s="2" customFormat="1" ht="15.75" x14ac:dyDescent="0.25">
      <c r="B100" s="6"/>
      <c r="D100" s="3"/>
      <c r="E100" s="4"/>
      <c r="M100" s="38"/>
      <c r="N100" s="38"/>
      <c r="O100" s="15"/>
    </row>
    <row r="101" spans="2:15" s="2" customFormat="1" ht="15.75" x14ac:dyDescent="0.25">
      <c r="B101" s="6"/>
      <c r="D101" s="3"/>
      <c r="E101" s="4"/>
      <c r="M101" s="11"/>
      <c r="N101" s="11"/>
      <c r="O101" s="15"/>
    </row>
    <row r="102" spans="2:15" s="2" customFormat="1" ht="15.75" x14ac:dyDescent="0.25">
      <c r="B102" s="6"/>
      <c r="D102" s="3"/>
      <c r="E102" s="4"/>
    </row>
    <row r="103" spans="2:15" s="2" customFormat="1" ht="15.75" x14ac:dyDescent="0.25">
      <c r="B103" s="6"/>
      <c r="D103" s="3"/>
      <c r="E103" s="4"/>
    </row>
    <row r="104" spans="2:15" s="2" customFormat="1" ht="15.75" x14ac:dyDescent="0.25">
      <c r="B104" s="6"/>
      <c r="D104" s="3"/>
      <c r="E104" s="4"/>
    </row>
    <row r="105" spans="2:15" s="2" customFormat="1" ht="15.75" x14ac:dyDescent="0.25">
      <c r="B105" s="6"/>
      <c r="D105" s="3"/>
      <c r="E105" s="4"/>
    </row>
    <row r="106" spans="2:15" s="2" customFormat="1" ht="15.75" x14ac:dyDescent="0.25">
      <c r="B106" s="6"/>
      <c r="D106" s="3"/>
      <c r="E106" s="4"/>
    </row>
    <row r="107" spans="2:15" s="2" customFormat="1" ht="15.75" x14ac:dyDescent="0.25">
      <c r="B107" s="6"/>
      <c r="D107" s="3"/>
      <c r="E107" s="4"/>
    </row>
    <row r="108" spans="2:15" s="2" customFormat="1" ht="15.75" x14ac:dyDescent="0.25">
      <c r="B108" s="6"/>
      <c r="D108" s="3"/>
      <c r="E108" s="4"/>
    </row>
    <row r="109" spans="2:15" s="2" customFormat="1" ht="15.75" x14ac:dyDescent="0.25">
      <c r="B109" s="6"/>
      <c r="D109" s="3"/>
      <c r="E109" s="4"/>
    </row>
    <row r="110" spans="2:15" s="2" customFormat="1" ht="15.75" x14ac:dyDescent="0.25">
      <c r="B110" s="6"/>
      <c r="D110" s="3"/>
      <c r="E110" s="4"/>
    </row>
    <row r="111" spans="2:15" s="2" customFormat="1" ht="15.75" x14ac:dyDescent="0.25">
      <c r="B111" s="6"/>
      <c r="D111" s="3"/>
      <c r="E111" s="4"/>
    </row>
    <row r="112" spans="2:15" s="2" customFormat="1" ht="15.75" x14ac:dyDescent="0.25">
      <c r="B112" s="6"/>
      <c r="D112" s="3"/>
      <c r="E112" s="4"/>
    </row>
    <row r="113" spans="2:19" s="2" customFormat="1" ht="15.75" x14ac:dyDescent="0.25">
      <c r="B113" s="6"/>
      <c r="D113" s="3"/>
      <c r="E113" s="4"/>
    </row>
    <row r="114" spans="2:19" s="2" customFormat="1" ht="15.75" x14ac:dyDescent="0.25">
      <c r="B114" s="6"/>
      <c r="D114" s="3"/>
      <c r="E114" s="4"/>
    </row>
    <row r="115" spans="2:19" s="2" customFormat="1" ht="15.75" x14ac:dyDescent="0.25">
      <c r="B115" s="6"/>
      <c r="D115" s="3"/>
      <c r="E115" s="4"/>
    </row>
    <row r="116" spans="2:19" s="2" customFormat="1" ht="15.75" x14ac:dyDescent="0.25">
      <c r="B116" s="6"/>
      <c r="D116" s="3"/>
      <c r="E116" s="4"/>
    </row>
    <row r="117" spans="2:19" s="2" customFormat="1" ht="15.75" x14ac:dyDescent="0.25">
      <c r="B117" s="6"/>
      <c r="D117" s="3"/>
      <c r="E117" s="4"/>
    </row>
    <row r="118" spans="2:19" s="2" customFormat="1" ht="15.75" x14ac:dyDescent="0.25">
      <c r="B118" s="6"/>
      <c r="D118" s="3"/>
      <c r="E118" s="4"/>
    </row>
    <row r="119" spans="2:19" s="2" customFormat="1" ht="15.75" x14ac:dyDescent="0.25">
      <c r="B119" s="6"/>
      <c r="D119" s="3"/>
      <c r="E119" s="4"/>
    </row>
    <row r="120" spans="2:19" s="2" customFormat="1" ht="15.75" x14ac:dyDescent="0.25">
      <c r="B120" s="6"/>
      <c r="D120" s="3"/>
      <c r="E120" s="4"/>
    </row>
    <row r="121" spans="2:19" s="2" customFormat="1" ht="15.75" x14ac:dyDescent="0.25">
      <c r="B121" s="6"/>
      <c r="D121" s="3"/>
      <c r="E121" s="4"/>
    </row>
    <row r="122" spans="2:19" s="2" customFormat="1" ht="15.75" x14ac:dyDescent="0.25">
      <c r="B122" s="6"/>
      <c r="D122" s="3"/>
      <c r="E122" s="4"/>
    </row>
    <row r="123" spans="2:19" s="2" customFormat="1" ht="15.75" x14ac:dyDescent="0.25">
      <c r="B123" s="6"/>
      <c r="D123" s="3"/>
      <c r="E123" s="4"/>
    </row>
    <row r="124" spans="2:19" s="2" customFormat="1" ht="15.75" x14ac:dyDescent="0.25">
      <c r="B124" s="6"/>
      <c r="E124" s="4"/>
    </row>
    <row r="125" spans="2:19" s="2" customFormat="1" ht="15.75" x14ac:dyDescent="0.25">
      <c r="B125" s="6"/>
      <c r="E125" s="4"/>
      <c r="Q125" s="1"/>
      <c r="R125" s="1"/>
      <c r="S125" s="1"/>
    </row>
    <row r="126" spans="2:19" ht="15.75" x14ac:dyDescent="0.25">
      <c r="E126" s="7"/>
      <c r="F126" s="8"/>
    </row>
    <row r="127" spans="2:19" ht="15.75" x14ac:dyDescent="0.25">
      <c r="E127" s="7"/>
      <c r="F127" s="5"/>
    </row>
    <row r="128" spans="2:19" ht="15.75" x14ac:dyDescent="0.25">
      <c r="E128" s="7"/>
      <c r="F128" s="5"/>
    </row>
    <row r="129" spans="5:6" ht="15.75" x14ac:dyDescent="0.25">
      <c r="E129" s="7"/>
      <c r="F129" s="5"/>
    </row>
    <row r="130" spans="5:6" ht="15.75" x14ac:dyDescent="0.25">
      <c r="E130" s="7"/>
      <c r="F130" s="5"/>
    </row>
    <row r="131" spans="5:6" ht="15.75" x14ac:dyDescent="0.25">
      <c r="E131" s="7"/>
      <c r="F131" s="5"/>
    </row>
    <row r="132" spans="5:6" ht="15.75" x14ac:dyDescent="0.25">
      <c r="E132" s="7"/>
      <c r="F132" s="5"/>
    </row>
    <row r="133" spans="5:6" x14ac:dyDescent="0.25">
      <c r="E133" s="9"/>
      <c r="F133" s="1"/>
    </row>
    <row r="134" spans="5:6" x14ac:dyDescent="0.25">
      <c r="E134" s="9"/>
      <c r="F134" s="1"/>
    </row>
    <row r="135" spans="5:6" x14ac:dyDescent="0.25">
      <c r="E135" s="9"/>
      <c r="F135" s="1"/>
    </row>
    <row r="136" spans="5:6" x14ac:dyDescent="0.25">
      <c r="E136" s="9"/>
      <c r="F136" s="1"/>
    </row>
    <row r="137" spans="5:6" x14ac:dyDescent="0.25">
      <c r="E137" s="9"/>
      <c r="F137" s="1"/>
    </row>
    <row r="138" spans="5:6" x14ac:dyDescent="0.25">
      <c r="E138" s="9"/>
      <c r="F138" s="1"/>
    </row>
    <row r="139" spans="5:6" x14ac:dyDescent="0.25">
      <c r="E139" s="9"/>
      <c r="F139" s="1"/>
    </row>
    <row r="140" spans="5:6" x14ac:dyDescent="0.25">
      <c r="E140" s="9"/>
      <c r="F140" s="1"/>
    </row>
    <row r="141" spans="5:6" x14ac:dyDescent="0.25">
      <c r="E141" s="9"/>
      <c r="F141" s="1"/>
    </row>
    <row r="142" spans="5:6" x14ac:dyDescent="0.25">
      <c r="E142" s="9"/>
      <c r="F142" s="1"/>
    </row>
  </sheetData>
  <sheetProtection sheet="1" selectLockedCells="1"/>
  <mergeCells count="58">
    <mergeCell ref="A43:H44"/>
    <mergeCell ref="I43:K44"/>
    <mergeCell ref="A45:N45"/>
    <mergeCell ref="C40:D40"/>
    <mergeCell ref="L40:M40"/>
    <mergeCell ref="B41:J41"/>
    <mergeCell ref="K41:L41"/>
    <mergeCell ref="M41:N41"/>
    <mergeCell ref="A42:H42"/>
    <mergeCell ref="I42:L42"/>
    <mergeCell ref="M42:N42"/>
    <mergeCell ref="M6:M7"/>
    <mergeCell ref="A1:E5"/>
    <mergeCell ref="F1:I5"/>
    <mergeCell ref="J1:L1"/>
    <mergeCell ref="J2:J3"/>
    <mergeCell ref="K2:L3"/>
    <mergeCell ref="J4:J5"/>
    <mergeCell ref="K4:L5"/>
    <mergeCell ref="A6:D6"/>
    <mergeCell ref="E6:F6"/>
    <mergeCell ref="H6:J6"/>
    <mergeCell ref="K6:L6"/>
    <mergeCell ref="A7:D7"/>
    <mergeCell ref="E7:F7"/>
    <mergeCell ref="H7:J7"/>
    <mergeCell ref="K7:L7"/>
    <mergeCell ref="G9:J9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9:J39"/>
    <mergeCell ref="G34:J34"/>
    <mergeCell ref="G35:J35"/>
    <mergeCell ref="G36:J36"/>
    <mergeCell ref="G37:J37"/>
    <mergeCell ref="G38:J38"/>
  </mergeCells>
  <phoneticPr fontId="19" type="noConversion"/>
  <conditionalFormatting sqref="C10:D39 B10:D15">
    <cfRule type="cellIs" dxfId="75" priority="20" operator="lessThan">
      <formula>9</formula>
    </cfRule>
  </conditionalFormatting>
  <conditionalFormatting sqref="C10:D11">
    <cfRule type="cellIs" dxfId="74" priority="16" operator="lessThan">
      <formula>9</formula>
    </cfRule>
  </conditionalFormatting>
  <conditionalFormatting sqref="C10:D21 B10:D15">
    <cfRule type="cellIs" dxfId="73" priority="15" operator="lessThan">
      <formula>9</formula>
    </cfRule>
  </conditionalFormatting>
  <conditionalFormatting sqref="C10:D11">
    <cfRule type="cellIs" dxfId="72" priority="14" operator="lessThan">
      <formula>9</formula>
    </cfRule>
  </conditionalFormatting>
  <conditionalFormatting sqref="G32:G39">
    <cfRule type="cellIs" dxfId="71" priority="1" operator="lessThan">
      <formula>9</formula>
    </cfRule>
  </conditionalFormatting>
  <conditionalFormatting sqref="G10">
    <cfRule type="cellIs" dxfId="70" priority="10" operator="lessThan">
      <formula>9</formula>
    </cfRule>
  </conditionalFormatting>
  <conditionalFormatting sqref="G10">
    <cfRule type="cellIs" dxfId="69" priority="9" operator="lessThan">
      <formula>9</formula>
    </cfRule>
  </conditionalFormatting>
  <conditionalFormatting sqref="G32:G39">
    <cfRule type="cellIs" dxfId="68" priority="2" operator="lessThan">
      <formula>9</formula>
    </cfRule>
  </conditionalFormatting>
  <conditionalFormatting sqref="G11:G12">
    <cfRule type="cellIs" dxfId="67" priority="6" operator="lessThan">
      <formula>9</formula>
    </cfRule>
  </conditionalFormatting>
  <conditionalFormatting sqref="G11:G12">
    <cfRule type="cellIs" dxfId="66" priority="5" operator="lessThan">
      <formula>9</formula>
    </cfRule>
  </conditionalFormatting>
  <conditionalFormatting sqref="G13:G31">
    <cfRule type="cellIs" dxfId="65" priority="4" operator="lessThan">
      <formula>9</formula>
    </cfRule>
  </conditionalFormatting>
  <conditionalFormatting sqref="G13:G31">
    <cfRule type="cellIs" dxfId="64" priority="3" operator="lessThan">
      <formula>9</formula>
    </cfRule>
  </conditionalFormatting>
  <printOptions horizontalCentered="1" verticalCentered="1"/>
  <pageMargins left="0.31496062992125984" right="0.31496062992125984" top="0.24000000000000002" bottom="0.24000000000000002" header="0.2" footer="0.24000000000000002"/>
  <pageSetup scale="66" orientation="landscape" r:id="rId1"/>
  <headerFooter alignWithMargins="0"/>
  <ignoredErrors>
    <ignoredError sqref="O10 O11 O13:O39 K4:L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BDD!$AH$138:$AH$164</xm:f>
          </x14:formula1>
          <xm:sqref>E10:E39</xm:sqref>
        </x14:dataValidation>
        <x14:dataValidation type="list" allowBlank="1" showInputMessage="1" showErrorMessage="1" xr:uid="{00000000-0002-0000-0100-000002000000}">
          <x14:formula1>
            <xm:f>BDD!$AI$3:$AI$4</xm:f>
          </x14:formula1>
          <xm:sqref>N7</xm:sqref>
        </x14:dataValidation>
        <x14:dataValidation type="list" allowBlank="1" showInputMessage="1" showErrorMessage="1" xr:uid="{EBCC9C5C-2963-4CF9-8387-CB3F83AA8579}">
          <x14:formula1>
            <xm:f>BDD!$AH$10:$AH$11</xm:f>
          </x14:formula1>
          <xm:sqref>F10:F39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</sheetPr>
  <dimension ref="A1:IV329"/>
  <sheetViews>
    <sheetView view="pageLayout" zoomScaleNormal="85" workbookViewId="0">
      <selection activeCell="J7" sqref="J7:K7"/>
    </sheetView>
  </sheetViews>
  <sheetFormatPr defaultColWidth="16.28515625" defaultRowHeight="15" x14ac:dyDescent="0.25"/>
  <cols>
    <col min="1" max="1" width="5.85546875" customWidth="1"/>
    <col min="2" max="2" width="22.42578125" customWidth="1"/>
    <col min="3" max="4" width="9.28515625" customWidth="1"/>
    <col min="5" max="5" width="13.7109375" style="22" customWidth="1"/>
    <col min="6" max="6" width="5" customWidth="1"/>
    <col min="7" max="7" width="1.140625" customWidth="1"/>
    <col min="8" max="8" width="35.140625" customWidth="1"/>
    <col min="9" max="9" width="8.42578125" bestFit="1" customWidth="1"/>
    <col min="10" max="10" width="10.7109375" bestFit="1" customWidth="1"/>
    <col min="11" max="11" width="9.42578125" bestFit="1" customWidth="1"/>
    <col min="12" max="12" width="9.7109375" customWidth="1"/>
    <col min="13" max="13" width="8.140625" customWidth="1"/>
    <col min="14" max="14" width="4.42578125" customWidth="1"/>
    <col min="15" max="15" width="3.85546875" customWidth="1"/>
    <col min="16" max="16" width="6.140625" customWidth="1"/>
    <col min="17" max="17" width="23.7109375" customWidth="1"/>
    <col min="18" max="18" width="21.42578125" customWidth="1"/>
    <col min="19" max="19" width="23.7109375" customWidth="1"/>
    <col min="20" max="20" width="17.28515625" customWidth="1"/>
    <col min="21" max="21" width="19.42578125" customWidth="1"/>
    <col min="22" max="22" width="17.28515625" customWidth="1"/>
    <col min="23" max="23" width="19.42578125" customWidth="1"/>
    <col min="24" max="24" width="22.140625" customWidth="1"/>
    <col min="25" max="25" width="24.28515625" customWidth="1"/>
    <col min="26" max="26" width="19.28515625" customWidth="1"/>
    <col min="27" max="27" width="21.42578125" bestFit="1" customWidth="1"/>
    <col min="28" max="28" width="15.42578125" customWidth="1"/>
    <col min="29" max="29" width="17.7109375" customWidth="1"/>
    <col min="30" max="30" width="20.140625" customWidth="1"/>
    <col min="31" max="31" width="22.28515625" customWidth="1"/>
    <col min="32" max="32" width="20.42578125" customWidth="1"/>
    <col min="33" max="33" width="22.7109375" customWidth="1"/>
    <col min="34" max="34" width="20.42578125" customWidth="1"/>
    <col min="35" max="35" width="22.7109375" customWidth="1"/>
    <col min="36" max="36" width="18.85546875" customWidth="1"/>
    <col min="37" max="37" width="21" customWidth="1"/>
    <col min="38" max="38" width="17" customWidth="1"/>
    <col min="39" max="39" width="19.140625" customWidth="1"/>
    <col min="40" max="40" width="16.28515625" customWidth="1"/>
    <col min="41" max="41" width="18.42578125" customWidth="1"/>
    <col min="42" max="42" width="16.28515625" customWidth="1"/>
    <col min="43" max="43" width="18.42578125" customWidth="1"/>
    <col min="44" max="44" width="30.140625" customWidth="1"/>
    <col min="45" max="45" width="32.28515625" customWidth="1"/>
    <col min="46" max="46" width="19.140625" customWidth="1"/>
    <col min="47" max="47" width="21.28515625" customWidth="1"/>
    <col min="48" max="48" width="22.7109375" customWidth="1"/>
    <col min="49" max="49" width="24.85546875" customWidth="1"/>
    <col min="50" max="50" width="15.42578125" customWidth="1"/>
    <col min="51" max="51" width="17.7109375" customWidth="1"/>
    <col min="52" max="52" width="20.28515625" customWidth="1"/>
    <col min="53" max="53" width="22.42578125" customWidth="1"/>
    <col min="54" max="54" width="21.85546875" customWidth="1"/>
    <col min="55" max="55" width="24" customWidth="1"/>
    <col min="56" max="56" width="20.140625" customWidth="1"/>
    <col min="57" max="57" width="22.28515625" customWidth="1"/>
    <col min="58" max="58" width="24" bestFit="1" customWidth="1"/>
    <col min="59" max="59" width="26.140625" bestFit="1" customWidth="1"/>
    <col min="60" max="60" width="19.28515625" customWidth="1"/>
    <col min="61" max="61" width="21.42578125" customWidth="1"/>
    <col min="62" max="62" width="23.28515625" bestFit="1" customWidth="1"/>
    <col min="63" max="63" width="25.42578125" customWidth="1"/>
    <col min="64" max="64" width="21.42578125" customWidth="1"/>
    <col min="65" max="65" width="23.7109375" bestFit="1" customWidth="1"/>
    <col min="66" max="66" width="20.85546875" customWidth="1"/>
    <col min="67" max="67" width="23" customWidth="1"/>
    <col min="68" max="68" width="21.85546875" customWidth="1"/>
    <col min="69" max="69" width="24" customWidth="1"/>
    <col min="70" max="70" width="21.7109375" customWidth="1"/>
    <col min="71" max="71" width="23.85546875" customWidth="1"/>
    <col min="72" max="72" width="23.140625" customWidth="1"/>
    <col min="73" max="73" width="25.28515625" bestFit="1" customWidth="1"/>
    <col min="74" max="74" width="20" customWidth="1"/>
    <col min="75" max="75" width="22.140625" customWidth="1"/>
    <col min="76" max="76" width="23.28515625" customWidth="1"/>
    <col min="77" max="77" width="25.42578125" customWidth="1"/>
    <col min="78" max="78" width="21.42578125" customWidth="1"/>
    <col min="79" max="79" width="23.7109375" customWidth="1"/>
    <col min="80" max="80" width="20.85546875" customWidth="1"/>
    <col min="81" max="81" width="23" customWidth="1"/>
    <col min="82" max="82" width="23.28515625" customWidth="1"/>
    <col min="83" max="83" width="25.28515625" customWidth="1"/>
    <col min="84" max="84" width="23.28515625" customWidth="1"/>
    <col min="85" max="85" width="25.28515625" bestFit="1" customWidth="1"/>
    <col min="86" max="86" width="21.42578125" customWidth="1"/>
    <col min="87" max="87" width="23.7109375" customWidth="1"/>
    <col min="88" max="88" width="20.7109375" customWidth="1"/>
    <col min="89" max="89" width="22.85546875" customWidth="1"/>
    <col min="90" max="90" width="22.7109375" customWidth="1"/>
    <col min="91" max="91" width="24.85546875" customWidth="1"/>
    <col min="92" max="92" width="22.7109375" customWidth="1"/>
    <col min="93" max="93" width="24.85546875" customWidth="1"/>
    <col min="94" max="94" width="22.28515625" customWidth="1"/>
    <col min="95" max="95" width="24.28515625" customWidth="1"/>
    <col min="96" max="96" width="11.28515625" customWidth="1"/>
    <col min="97" max="97" width="23.7109375" customWidth="1"/>
    <col min="98" max="98" width="25.85546875" customWidth="1"/>
    <col min="99" max="99" width="19" customWidth="1"/>
    <col min="100" max="100" width="21.140625" customWidth="1"/>
    <col min="101" max="101" width="20.28515625" customWidth="1"/>
    <col min="102" max="102" width="22.42578125" customWidth="1"/>
    <col min="103" max="103" width="19.28515625" customWidth="1"/>
    <col min="104" max="104" width="21.42578125" customWidth="1"/>
    <col min="105" max="105" width="20.28515625" customWidth="1"/>
    <col min="106" max="106" width="22.42578125" customWidth="1"/>
    <col min="107" max="107" width="17.85546875" customWidth="1"/>
    <col min="108" max="108" width="20" customWidth="1"/>
    <col min="109" max="109" width="18.85546875" customWidth="1"/>
    <col min="110" max="110" width="21" customWidth="1"/>
    <col min="111" max="111" width="20.42578125" customWidth="1"/>
    <col min="112" max="112" width="22.7109375" customWidth="1"/>
    <col min="113" max="113" width="22.28515625" customWidth="1"/>
    <col min="114" max="114" width="24.42578125" customWidth="1"/>
    <col min="115" max="115" width="22.7109375" customWidth="1"/>
    <col min="116" max="116" width="24.85546875" customWidth="1"/>
    <col min="117" max="117" width="20.7109375" customWidth="1"/>
    <col min="118" max="118" width="22.85546875" customWidth="1"/>
    <col min="119" max="119" width="27" customWidth="1"/>
    <col min="120" max="120" width="29.140625" customWidth="1"/>
    <col min="121" max="121" width="22.28515625" bestFit="1" customWidth="1"/>
    <col min="122" max="122" width="24.42578125" customWidth="1"/>
    <col min="123" max="123" width="21.42578125" customWidth="1"/>
    <col min="124" max="124" width="23.7109375" bestFit="1" customWidth="1"/>
    <col min="125" max="125" width="21.42578125" customWidth="1"/>
    <col min="126" max="126" width="23.7109375" customWidth="1"/>
    <col min="127" max="127" width="17.28515625" customWidth="1"/>
    <col min="128" max="128" width="19.42578125" customWidth="1"/>
    <col min="129" max="129" width="17.28515625" customWidth="1"/>
    <col min="130" max="130" width="19.42578125" customWidth="1"/>
    <col min="131" max="131" width="22.140625" customWidth="1"/>
    <col min="132" max="132" width="24.28515625" customWidth="1"/>
    <col min="133" max="133" width="19.28515625" customWidth="1"/>
    <col min="134" max="134" width="21.42578125" customWidth="1"/>
    <col min="135" max="135" width="15.42578125" customWidth="1"/>
    <col min="136" max="136" width="17.7109375" customWidth="1"/>
    <col min="137" max="137" width="20.140625" customWidth="1"/>
    <col min="138" max="138" width="22.28515625" bestFit="1" customWidth="1"/>
    <col min="139" max="139" width="20.42578125" customWidth="1"/>
    <col min="140" max="140" width="22.7109375" bestFit="1" customWidth="1"/>
    <col min="141" max="141" width="20.42578125" customWidth="1"/>
    <col min="142" max="142" width="22.7109375" customWidth="1"/>
    <col min="143" max="143" width="18.85546875" customWidth="1"/>
    <col min="144" max="144" width="21" customWidth="1"/>
    <col min="145" max="145" width="17" customWidth="1"/>
    <col min="146" max="146" width="19.140625" customWidth="1"/>
    <col min="147" max="147" width="16.28515625" customWidth="1"/>
    <col min="148" max="148" width="18.42578125" customWidth="1"/>
    <col min="149" max="149" width="16.28515625" customWidth="1"/>
    <col min="150" max="150" width="18.42578125" customWidth="1"/>
    <col min="151" max="151" width="30.140625" bestFit="1" customWidth="1"/>
    <col min="152" max="152" width="32.28515625" customWidth="1"/>
    <col min="153" max="153" width="19.140625" customWidth="1"/>
    <col min="154" max="154" width="21.28515625" bestFit="1" customWidth="1"/>
    <col min="155" max="155" width="22.7109375" bestFit="1" customWidth="1"/>
    <col min="156" max="156" width="24.85546875" customWidth="1"/>
    <col min="157" max="157" width="15.42578125" customWidth="1"/>
    <col min="158" max="158" width="17.7109375" customWidth="1"/>
    <col min="159" max="159" width="20.28515625" customWidth="1"/>
    <col min="160" max="160" width="22.42578125" customWidth="1"/>
    <col min="161" max="161" width="21.85546875" customWidth="1"/>
    <col min="162" max="162" width="24" bestFit="1" customWidth="1"/>
    <col min="163" max="163" width="20.140625" customWidth="1"/>
    <col min="164" max="164" width="22.28515625" bestFit="1" customWidth="1"/>
    <col min="165" max="165" width="24" bestFit="1" customWidth="1"/>
    <col min="166" max="166" width="26.140625" customWidth="1"/>
    <col min="167" max="167" width="19.28515625" customWidth="1"/>
    <col min="168" max="168" width="21.42578125" customWidth="1"/>
    <col min="169" max="169" width="23.28515625" customWidth="1"/>
    <col min="170" max="170" width="25.42578125" bestFit="1" customWidth="1"/>
    <col min="171" max="171" width="21.42578125" customWidth="1"/>
    <col min="172" max="172" width="23.7109375" customWidth="1"/>
    <col min="173" max="173" width="20.85546875" customWidth="1"/>
    <col min="174" max="174" width="23" customWidth="1"/>
    <col min="175" max="175" width="21.85546875" bestFit="1" customWidth="1"/>
    <col min="176" max="176" width="24" customWidth="1"/>
    <col min="177" max="177" width="21.7109375" bestFit="1" customWidth="1"/>
    <col min="178" max="178" width="23.85546875" customWidth="1"/>
    <col min="179" max="179" width="23.140625" bestFit="1" customWidth="1"/>
    <col min="180" max="180" width="25.28515625" customWidth="1"/>
    <col min="181" max="181" width="20" customWidth="1"/>
    <col min="182" max="182" width="22.140625" customWidth="1"/>
    <col min="183" max="183" width="23.28515625" customWidth="1"/>
    <col min="184" max="184" width="25.42578125" bestFit="1" customWidth="1"/>
    <col min="185" max="185" width="21.42578125" customWidth="1"/>
    <col min="186" max="186" width="23.7109375" customWidth="1"/>
    <col min="187" max="187" width="20.85546875" bestFit="1" customWidth="1"/>
    <col min="188" max="188" width="23" bestFit="1" customWidth="1"/>
    <col min="189" max="189" width="23.28515625" bestFit="1" customWidth="1"/>
    <col min="190" max="190" width="25.28515625" bestFit="1" customWidth="1"/>
    <col min="191" max="191" width="23.28515625" customWidth="1"/>
    <col min="192" max="192" width="25.28515625" bestFit="1" customWidth="1"/>
    <col min="193" max="193" width="21.42578125" customWidth="1"/>
    <col min="194" max="194" width="23.7109375" bestFit="1" customWidth="1"/>
    <col min="195" max="195" width="20.7109375" customWidth="1"/>
    <col min="196" max="196" width="22.85546875" customWidth="1"/>
    <col min="197" max="197" width="22.7109375" customWidth="1"/>
    <col min="198" max="198" width="24.85546875" bestFit="1" customWidth="1"/>
    <col min="199" max="199" width="22.7109375" customWidth="1"/>
    <col min="200" max="200" width="24.85546875" bestFit="1" customWidth="1"/>
    <col min="201" max="201" width="22.28515625" bestFit="1" customWidth="1"/>
    <col min="202" max="202" width="24.28515625" bestFit="1" customWidth="1"/>
    <col min="203" max="203" width="7.28515625" customWidth="1"/>
    <col min="204" max="204" width="23.7109375" bestFit="1" customWidth="1"/>
    <col min="205" max="205" width="25.85546875" bestFit="1" customWidth="1"/>
    <col min="206" max="206" width="19" bestFit="1" customWidth="1"/>
    <col min="207" max="207" width="21.140625" bestFit="1" customWidth="1"/>
    <col min="208" max="208" width="20.28515625" customWidth="1"/>
    <col min="209" max="209" width="22.42578125" customWidth="1"/>
    <col min="210" max="210" width="19.28515625" customWidth="1"/>
    <col min="211" max="211" width="21.42578125" customWidth="1"/>
    <col min="212" max="212" width="20.28515625" bestFit="1" customWidth="1"/>
    <col min="213" max="213" width="22.42578125" bestFit="1" customWidth="1"/>
    <col min="214" max="214" width="17.85546875" customWidth="1"/>
    <col min="215" max="215" width="20" customWidth="1"/>
    <col min="216" max="216" width="18.85546875" customWidth="1"/>
    <col min="217" max="217" width="21" bestFit="1" customWidth="1"/>
    <col min="218" max="218" width="20.42578125" customWidth="1"/>
    <col min="219" max="219" width="22.7109375" customWidth="1"/>
    <col min="220" max="220" width="22.28515625" customWidth="1"/>
    <col min="221" max="221" width="24.42578125" customWidth="1"/>
    <col min="222" max="222" width="22.7109375" bestFit="1" customWidth="1"/>
    <col min="223" max="223" width="24.85546875" bestFit="1" customWidth="1"/>
    <col min="224" max="224" width="20.7109375" bestFit="1" customWidth="1"/>
    <col min="225" max="225" width="22.85546875" bestFit="1" customWidth="1"/>
    <col min="226" max="226" width="27" customWidth="1"/>
    <col min="227" max="227" width="29.140625" bestFit="1" customWidth="1"/>
    <col min="228" max="228" width="22.28515625" customWidth="1"/>
    <col min="229" max="229" width="24.42578125" customWidth="1"/>
    <col min="230" max="230" width="21.42578125" bestFit="1" customWidth="1"/>
    <col min="231" max="231" width="23.7109375" bestFit="1" customWidth="1"/>
    <col min="232" max="232" width="21.42578125" bestFit="1" customWidth="1"/>
    <col min="233" max="233" width="23.7109375" bestFit="1" customWidth="1"/>
    <col min="234" max="234" width="17.28515625" customWidth="1"/>
    <col min="235" max="235" width="19.42578125" customWidth="1"/>
    <col min="236" max="236" width="17.28515625" customWidth="1"/>
    <col min="237" max="237" width="19.42578125" customWidth="1"/>
    <col min="238" max="238" width="22.140625" customWidth="1"/>
    <col min="239" max="239" width="24.28515625" bestFit="1" customWidth="1"/>
    <col min="240" max="240" width="19.28515625" customWidth="1"/>
    <col min="241" max="241" width="21.42578125" customWidth="1"/>
    <col min="242" max="242" width="15.42578125" customWidth="1"/>
    <col min="243" max="243" width="17.7109375" customWidth="1"/>
    <col min="244" max="244" width="20.140625" customWidth="1"/>
    <col min="245" max="245" width="22.28515625" customWidth="1"/>
    <col min="246" max="246" width="20.42578125" customWidth="1"/>
    <col min="247" max="247" width="22.7109375" customWidth="1"/>
    <col min="248" max="248" width="20.42578125" customWidth="1"/>
    <col min="249" max="249" width="22.7109375" customWidth="1"/>
    <col min="250" max="250" width="18.85546875" customWidth="1"/>
    <col min="251" max="251" width="21" customWidth="1"/>
    <col min="252" max="252" width="17" customWidth="1"/>
    <col min="253" max="253" width="19.140625" customWidth="1"/>
    <col min="254" max="254" width="16.28515625" customWidth="1"/>
    <col min="255" max="255" width="18.42578125" customWidth="1"/>
  </cols>
  <sheetData>
    <row r="1" spans="1:20" ht="15" customHeight="1" x14ac:dyDescent="0.25">
      <c r="A1" s="703"/>
      <c r="B1" s="704"/>
      <c r="C1" s="705"/>
      <c r="D1" s="666" t="s">
        <v>219</v>
      </c>
      <c r="E1" s="667"/>
      <c r="F1" s="667"/>
      <c r="G1" s="667"/>
      <c r="H1" s="668"/>
      <c r="I1" s="644" t="s">
        <v>17</v>
      </c>
      <c r="J1" s="645"/>
      <c r="K1" s="646"/>
      <c r="L1" s="30" t="s">
        <v>15</v>
      </c>
      <c r="M1" s="31">
        <f>'Doors order'!N1</f>
        <v>1</v>
      </c>
      <c r="N1" s="32"/>
      <c r="O1" s="32"/>
    </row>
    <row r="2" spans="1:20" ht="15" customHeight="1" x14ac:dyDescent="0.25">
      <c r="A2" s="706"/>
      <c r="B2" s="707"/>
      <c r="C2" s="708"/>
      <c r="D2" s="669"/>
      <c r="E2" s="687"/>
      <c r="F2" s="687"/>
      <c r="G2" s="687"/>
      <c r="H2" s="671"/>
      <c r="I2" s="712" t="s">
        <v>77</v>
      </c>
      <c r="J2" s="688" t="str">
        <f>IF('Doors order'!K2="","",'Doors order'!K2)</f>
        <v/>
      </c>
      <c r="K2" s="689"/>
      <c r="L2" s="91" t="s">
        <v>12</v>
      </c>
      <c r="M2" s="122">
        <f>'Doors order'!N2</f>
        <v>44041</v>
      </c>
      <c r="N2" s="32"/>
      <c r="O2" s="32"/>
    </row>
    <row r="3" spans="1:20" ht="15" customHeight="1" x14ac:dyDescent="0.25">
      <c r="A3" s="706"/>
      <c r="B3" s="707"/>
      <c r="C3" s="708"/>
      <c r="D3" s="669"/>
      <c r="E3" s="687"/>
      <c r="F3" s="687"/>
      <c r="G3" s="687"/>
      <c r="H3" s="671"/>
      <c r="I3" s="712"/>
      <c r="J3" s="688"/>
      <c r="K3" s="689"/>
      <c r="L3" s="91" t="s">
        <v>14</v>
      </c>
      <c r="M3" s="93">
        <f>'Doors order'!N3</f>
        <v>3</v>
      </c>
      <c r="N3" s="32"/>
      <c r="O3" s="32"/>
    </row>
    <row r="4" spans="1:20" ht="15" customHeight="1" x14ac:dyDescent="0.25">
      <c r="A4" s="706"/>
      <c r="B4" s="707"/>
      <c r="C4" s="708"/>
      <c r="D4" s="669"/>
      <c r="E4" s="687"/>
      <c r="F4" s="687"/>
      <c r="G4" s="687"/>
      <c r="H4" s="671"/>
      <c r="I4" s="713" t="s">
        <v>102</v>
      </c>
      <c r="J4" s="715">
        <f>IF('Doors order'!K4="","",'Doors order'!K4)</f>
        <v>10</v>
      </c>
      <c r="K4" s="716"/>
      <c r="L4" s="91" t="s">
        <v>220</v>
      </c>
      <c r="M4" s="93" t="str">
        <f>'Doors order'!N4</f>
        <v>MS</v>
      </c>
      <c r="N4" s="32"/>
      <c r="O4" s="32"/>
    </row>
    <row r="5" spans="1:20" ht="15" customHeight="1" thickBot="1" x14ac:dyDescent="0.3">
      <c r="A5" s="709"/>
      <c r="B5" s="710"/>
      <c r="C5" s="711"/>
      <c r="D5" s="672"/>
      <c r="E5" s="673"/>
      <c r="F5" s="673"/>
      <c r="G5" s="673"/>
      <c r="H5" s="674"/>
      <c r="I5" s="714"/>
      <c r="J5" s="717"/>
      <c r="K5" s="718"/>
      <c r="L5" s="94" t="s">
        <v>89</v>
      </c>
      <c r="M5" s="95" t="str">
        <f>'Doors order'!N5</f>
        <v>MR</v>
      </c>
      <c r="N5" s="32"/>
      <c r="O5" s="32"/>
    </row>
    <row r="6" spans="1:20" ht="15" customHeight="1" x14ac:dyDescent="0.25">
      <c r="A6" s="665" t="s">
        <v>0</v>
      </c>
      <c r="B6" s="653"/>
      <c r="C6" s="641"/>
      <c r="D6" s="640" t="s">
        <v>1</v>
      </c>
      <c r="E6" s="641"/>
      <c r="F6" s="640" t="s">
        <v>2</v>
      </c>
      <c r="G6" s="653"/>
      <c r="H6" s="653"/>
      <c r="I6" s="641"/>
      <c r="J6" s="640" t="s">
        <v>18</v>
      </c>
      <c r="K6" s="641"/>
      <c r="L6" s="727" t="s">
        <v>221</v>
      </c>
      <c r="M6" s="728"/>
      <c r="N6" s="32"/>
      <c r="O6" s="32"/>
    </row>
    <row r="7" spans="1:20" ht="23.1" customHeight="1" thickBot="1" x14ac:dyDescent="0.3">
      <c r="A7" s="719" t="str">
        <f>'Cava Doors order'!A7:D7</f>
        <v/>
      </c>
      <c r="B7" s="720"/>
      <c r="C7" s="721"/>
      <c r="D7" s="722" t="str">
        <f>'Cava Doors order'!E7</f>
        <v/>
      </c>
      <c r="E7" s="723"/>
      <c r="F7" s="724" t="str">
        <f>'Cava Doors order'!H7</f>
        <v/>
      </c>
      <c r="G7" s="720"/>
      <c r="H7" s="720"/>
      <c r="I7" s="721"/>
      <c r="J7" s="606"/>
      <c r="K7" s="607"/>
      <c r="L7" s="725"/>
      <c r="M7" s="726"/>
      <c r="N7" s="32"/>
      <c r="O7" s="32"/>
    </row>
    <row r="8" spans="1:20" s="32" customFormat="1" ht="6" customHeight="1" thickBot="1" x14ac:dyDescent="0.3">
      <c r="A8" s="28"/>
      <c r="B8" s="28"/>
      <c r="C8" s="28"/>
      <c r="D8" s="27"/>
      <c r="E8" s="27"/>
      <c r="F8" s="28"/>
      <c r="G8" s="28"/>
      <c r="H8" s="28"/>
      <c r="I8" s="28"/>
      <c r="J8" s="25"/>
      <c r="K8" s="25"/>
      <c r="L8" s="25"/>
      <c r="M8" s="25"/>
      <c r="P8"/>
      <c r="Q8"/>
      <c r="R8"/>
      <c r="S8"/>
      <c r="T8"/>
    </row>
    <row r="9" spans="1:20" ht="23.1" customHeight="1" x14ac:dyDescent="0.25">
      <c r="A9" s="96" t="s">
        <v>13</v>
      </c>
      <c r="B9" s="729" t="s">
        <v>22</v>
      </c>
      <c r="C9" s="730"/>
      <c r="D9" s="730"/>
      <c r="E9" s="730"/>
      <c r="F9" s="730"/>
      <c r="G9" s="731"/>
      <c r="H9" s="563" t="s">
        <v>1029</v>
      </c>
      <c r="I9" s="97" t="s">
        <v>222</v>
      </c>
      <c r="J9" s="97" t="s">
        <v>223</v>
      </c>
      <c r="K9" s="97" t="s">
        <v>224</v>
      </c>
      <c r="L9" s="732" t="s">
        <v>225</v>
      </c>
      <c r="M9" s="733"/>
      <c r="N9" s="98"/>
      <c r="O9" s="32"/>
    </row>
    <row r="10" spans="1:20" ht="23.1" customHeight="1" x14ac:dyDescent="0.25">
      <c r="A10" s="99"/>
      <c r="B10" s="734"/>
      <c r="C10" s="734"/>
      <c r="D10" s="734"/>
      <c r="E10" s="734"/>
      <c r="F10" s="734"/>
      <c r="G10" s="734"/>
      <c r="H10" s="587"/>
      <c r="I10" s="588" t="str">
        <f>IF(B10="","",A10*36.1129)</f>
        <v/>
      </c>
      <c r="J10" s="584" t="str">
        <f>IF(I10="","",IF(H10="8mm",VLOOKUP(B10,BDD!$A$8:$H$107,3,0),IF(H10="10mm",VLOOKUP(B10,BDD!$A$8:$H$107,4,0),IF(H10="16mm",VLOOKUP(B10,BDD!$A$8:$H$107,5,0),IF(H10="22mm",VLOOKUP(B10,BDD!$A$8:$H$107,7,0),VLOOKUP(B10,BDD!$A$8:$H$107,6,0))))))</f>
        <v/>
      </c>
      <c r="K10" s="589" t="str">
        <f>IF(J10="","",IF(VLOOKUP(B10,BDD!A:T,18,0)="luxe",$M$44,$M$45))</f>
        <v/>
      </c>
      <c r="L10" s="735" t="str">
        <f>IF(J10="","",IF(J10="NOT AV.","NOT AV.",IF(I10=0,J10*A10*(1-K10),I10*J10*(1-K10))))</f>
        <v/>
      </c>
      <c r="M10" s="736"/>
      <c r="N10" s="132" t="str">
        <f>IF(B10="","",IF(VLOOKUP(B10,BDD!$A$8:$R$107,8,0)="yes","","*"))</f>
        <v/>
      </c>
      <c r="O10" s="143" t="str">
        <f>IF(H10="","",(IF(H10="8MM","",(IF(H10="18MM","","*")))))</f>
        <v/>
      </c>
    </row>
    <row r="11" spans="1:20" ht="23.1" customHeight="1" x14ac:dyDescent="0.25">
      <c r="A11" s="99"/>
      <c r="B11" s="734"/>
      <c r="C11" s="734"/>
      <c r="D11" s="734"/>
      <c r="E11" s="734"/>
      <c r="F11" s="734"/>
      <c r="G11" s="734"/>
      <c r="H11" s="587"/>
      <c r="I11" s="588" t="str">
        <f t="shared" ref="I11:I39" si="0">IF(B11="","",A11*36.1129)</f>
        <v/>
      </c>
      <c r="J11" s="584" t="str">
        <f>IF(I11="","",IF(H11="8mm",VLOOKUP(B11,BDD!$A$8:$H$107,3,0),IF(H11="10mm",VLOOKUP(B11,BDD!$A$8:$H$107,4,0),IF(H11="16mm",VLOOKUP(B11,BDD!$A$8:$H$107,5,0),IF(H11="22mm",VLOOKUP(B11,BDD!$A$8:$H$107,7,0),VLOOKUP(B11,BDD!$A$8:$H$107,6,0))))))</f>
        <v/>
      </c>
      <c r="K11" s="589" t="str">
        <f>IF(J11="","",IF(VLOOKUP(B11,BDD!A:T,18,0)="luxe",$M$44,$M$45))</f>
        <v/>
      </c>
      <c r="L11" s="735" t="str">
        <f t="shared" ref="L11:L39" si="1">IF(J11="","",IF(J11="NOT AV.","NOT AV.",IF(I11=0,J11*A11*(1-K11),I11*J11*(1-K11))))</f>
        <v/>
      </c>
      <c r="M11" s="736"/>
      <c r="N11" s="132" t="str">
        <f>IF(B11="","",IF(VLOOKUP(B11,BDD!$A$8:$R$107,8,0)="yes","","*"))</f>
        <v/>
      </c>
      <c r="O11" s="143" t="str">
        <f t="shared" ref="O11:O39" si="2">IF(H11="","",(IF(H11="8MM","",(IF(H11="18MM","","*")))))</f>
        <v/>
      </c>
    </row>
    <row r="12" spans="1:20" ht="23.1" customHeight="1" x14ac:dyDescent="0.25">
      <c r="A12" s="99"/>
      <c r="B12" s="734"/>
      <c r="C12" s="734"/>
      <c r="D12" s="734"/>
      <c r="E12" s="734"/>
      <c r="F12" s="734"/>
      <c r="G12" s="734"/>
      <c r="H12" s="587"/>
      <c r="I12" s="588" t="str">
        <f t="shared" si="0"/>
        <v/>
      </c>
      <c r="J12" s="584" t="str">
        <f>IF(I12="","",IF(H12="8mm",VLOOKUP(B12,BDD!$A$8:$H$107,3,0),IF(H12="10mm",VLOOKUP(B12,BDD!$A$8:$H$107,4,0),IF(H12="16mm",VLOOKUP(B12,BDD!$A$8:$H$107,5,0),IF(H12="22mm",VLOOKUP(B12,BDD!$A$8:$H$107,7,0),VLOOKUP(B12,BDD!$A$8:$H$107,6,0))))))</f>
        <v/>
      </c>
      <c r="K12" s="589" t="str">
        <f>IF(J12="","",IF(VLOOKUP(B12,BDD!A:T,18,0)="luxe",$M$44,$M$45))</f>
        <v/>
      </c>
      <c r="L12" s="735" t="str">
        <f t="shared" si="1"/>
        <v/>
      </c>
      <c r="M12" s="736"/>
      <c r="N12" s="132" t="str">
        <f>IF(B12="","",IF(VLOOKUP(B12,BDD!$A$8:$R$107,8,0)="yes","","*"))</f>
        <v/>
      </c>
      <c r="O12" s="143" t="str">
        <f t="shared" si="2"/>
        <v/>
      </c>
    </row>
    <row r="13" spans="1:20" ht="23.1" customHeight="1" x14ac:dyDescent="0.25">
      <c r="A13" s="99"/>
      <c r="B13" s="734"/>
      <c r="C13" s="734"/>
      <c r="D13" s="734"/>
      <c r="E13" s="734"/>
      <c r="F13" s="734"/>
      <c r="G13" s="734"/>
      <c r="H13" s="587"/>
      <c r="I13" s="588" t="str">
        <f t="shared" si="0"/>
        <v/>
      </c>
      <c r="J13" s="584" t="str">
        <f>IF(I13="","",IF(H13="8mm",VLOOKUP(B13,BDD!$A$8:$H$107,3,0),IF(H13="10mm",VLOOKUP(B13,BDD!$A$8:$H$107,4,0),IF(H13="16mm",VLOOKUP(B13,BDD!$A$8:$H$107,5,0),IF(H13="22mm",VLOOKUP(B13,BDD!$A$8:$H$107,7,0),VLOOKUP(B13,BDD!$A$8:$H$107,6,0))))))</f>
        <v/>
      </c>
      <c r="K13" s="589" t="str">
        <f>IF(J13="","",IF(VLOOKUP(B13,BDD!A:T,18,0)="luxe",$M$44,$M$45))</f>
        <v/>
      </c>
      <c r="L13" s="735" t="str">
        <f t="shared" si="1"/>
        <v/>
      </c>
      <c r="M13" s="736"/>
      <c r="N13" s="132" t="str">
        <f>IF(B13="","",IF(VLOOKUP(B13,BDD!$A$8:$R$107,8,0)="yes","","*"))</f>
        <v/>
      </c>
      <c r="O13" s="143" t="str">
        <f t="shared" si="2"/>
        <v/>
      </c>
    </row>
    <row r="14" spans="1:20" ht="23.1" customHeight="1" x14ac:dyDescent="0.25">
      <c r="A14" s="99"/>
      <c r="B14" s="734"/>
      <c r="C14" s="734"/>
      <c r="D14" s="734"/>
      <c r="E14" s="734"/>
      <c r="F14" s="734"/>
      <c r="G14" s="734"/>
      <c r="H14" s="587"/>
      <c r="I14" s="588" t="str">
        <f t="shared" si="0"/>
        <v/>
      </c>
      <c r="J14" s="584" t="str">
        <f>IF(I14="","",IF(H14="8mm",VLOOKUP(B14,BDD!$A$8:$H$107,3,0),IF(H14="10mm",VLOOKUP(B14,BDD!$A$8:$H$107,4,0),IF(H14="16mm",VLOOKUP(B14,BDD!$A$8:$H$107,5,0),IF(H14="22mm",VLOOKUP(B14,BDD!$A$8:$H$107,7,0),VLOOKUP(B14,BDD!$A$8:$H$107,6,0))))))</f>
        <v/>
      </c>
      <c r="K14" s="589" t="str">
        <f>IF(J14="","",IF(VLOOKUP(B14,BDD!A:T,18,0)="luxe",$M$44,$M$45))</f>
        <v/>
      </c>
      <c r="L14" s="735" t="str">
        <f t="shared" si="1"/>
        <v/>
      </c>
      <c r="M14" s="736"/>
      <c r="N14" s="132" t="str">
        <f>IF(B14="","",IF(VLOOKUP(B14,BDD!$A$8:$R$107,8,0)="yes","","*"))</f>
        <v/>
      </c>
      <c r="O14" s="143" t="str">
        <f t="shared" si="2"/>
        <v/>
      </c>
    </row>
    <row r="15" spans="1:20" ht="23.1" customHeight="1" x14ac:dyDescent="0.25">
      <c r="A15" s="99"/>
      <c r="B15" s="734"/>
      <c r="C15" s="734"/>
      <c r="D15" s="734"/>
      <c r="E15" s="734"/>
      <c r="F15" s="734"/>
      <c r="G15" s="734"/>
      <c r="H15" s="587"/>
      <c r="I15" s="588" t="str">
        <f t="shared" si="0"/>
        <v/>
      </c>
      <c r="J15" s="584" t="str">
        <f>IF(I15="","",IF(H15="8mm",VLOOKUP(B15,BDD!$A$8:$H$107,3,0),IF(H15="10mm",VLOOKUP(B15,BDD!$A$8:$H$107,4,0),IF(H15="16mm",VLOOKUP(B15,BDD!$A$8:$H$107,5,0),IF(H15="22mm",VLOOKUP(B15,BDD!$A$8:$H$107,7,0),VLOOKUP(B15,BDD!$A$8:$H$107,6,0))))))</f>
        <v/>
      </c>
      <c r="K15" s="589" t="str">
        <f>IF(J15="","",IF(VLOOKUP(B15,BDD!A:T,18,0)="luxe",$M$44,$M$45))</f>
        <v/>
      </c>
      <c r="L15" s="735" t="str">
        <f t="shared" si="1"/>
        <v/>
      </c>
      <c r="M15" s="736"/>
      <c r="N15" s="132" t="str">
        <f>IF(B15="","",IF(VLOOKUP(B15,BDD!$A$8:$R$107,8,0)="yes","","*"))</f>
        <v/>
      </c>
      <c r="O15" s="143" t="str">
        <f t="shared" si="2"/>
        <v/>
      </c>
    </row>
    <row r="16" spans="1:20" ht="23.1" customHeight="1" x14ac:dyDescent="0.25">
      <c r="A16" s="99"/>
      <c r="B16" s="734"/>
      <c r="C16" s="734"/>
      <c r="D16" s="734"/>
      <c r="E16" s="734"/>
      <c r="F16" s="734"/>
      <c r="G16" s="734"/>
      <c r="H16" s="587"/>
      <c r="I16" s="588" t="str">
        <f t="shared" si="0"/>
        <v/>
      </c>
      <c r="J16" s="584" t="str">
        <f>IF(I16="","",IF(H16="8mm",VLOOKUP(B16,BDD!$A$8:$H$107,3,0),IF(H16="10mm",VLOOKUP(B16,BDD!$A$8:$H$107,4,0),IF(H16="16mm",VLOOKUP(B16,BDD!$A$8:$H$107,5,0),IF(H16="22mm",VLOOKUP(B16,BDD!$A$8:$H$107,7,0),VLOOKUP(B16,BDD!$A$8:$H$107,6,0))))))</f>
        <v/>
      </c>
      <c r="K16" s="589" t="str">
        <f>IF(J16="","",IF(VLOOKUP(B16,BDD!A:T,18,0)="luxe",$M$44,$M$45))</f>
        <v/>
      </c>
      <c r="L16" s="735" t="str">
        <f t="shared" si="1"/>
        <v/>
      </c>
      <c r="M16" s="736"/>
      <c r="N16" s="132" t="str">
        <f>IF(B16="","",IF(VLOOKUP(B16,BDD!$A$8:$R$107,8,0)="yes","","*"))</f>
        <v/>
      </c>
      <c r="O16" s="143" t="str">
        <f t="shared" si="2"/>
        <v/>
      </c>
    </row>
    <row r="17" spans="1:15" ht="23.1" customHeight="1" x14ac:dyDescent="0.25">
      <c r="A17" s="99"/>
      <c r="B17" s="734"/>
      <c r="C17" s="734"/>
      <c r="D17" s="734"/>
      <c r="E17" s="734"/>
      <c r="F17" s="734"/>
      <c r="G17" s="734"/>
      <c r="H17" s="587"/>
      <c r="I17" s="588" t="str">
        <f t="shared" si="0"/>
        <v/>
      </c>
      <c r="J17" s="584" t="str">
        <f>IF(I17="","",IF(H17="8mm",VLOOKUP(B17,BDD!$A$8:$H$107,3,0),IF(H17="10mm",VLOOKUP(B17,BDD!$A$8:$H$107,4,0),IF(H17="16mm",VLOOKUP(B17,BDD!$A$8:$H$107,5,0),IF(H17="22mm",VLOOKUP(B17,BDD!$A$8:$H$107,7,0),VLOOKUP(B17,BDD!$A$8:$H$107,6,0))))))</f>
        <v/>
      </c>
      <c r="K17" s="589" t="str">
        <f>IF(J17="","",IF(VLOOKUP(B17,BDD!A:T,18,0)="luxe",$M$44,$M$45))</f>
        <v/>
      </c>
      <c r="L17" s="735" t="str">
        <f t="shared" si="1"/>
        <v/>
      </c>
      <c r="M17" s="736"/>
      <c r="N17" s="132" t="str">
        <f>IF(B17="","",IF(VLOOKUP(B17,BDD!$A$8:$R$107,8,0)="yes","","*"))</f>
        <v/>
      </c>
      <c r="O17" s="143" t="str">
        <f t="shared" si="2"/>
        <v/>
      </c>
    </row>
    <row r="18" spans="1:15" ht="23.1" customHeight="1" x14ac:dyDescent="0.25">
      <c r="A18" s="99"/>
      <c r="B18" s="734"/>
      <c r="C18" s="734"/>
      <c r="D18" s="734"/>
      <c r="E18" s="734"/>
      <c r="F18" s="734"/>
      <c r="G18" s="734"/>
      <c r="H18" s="587"/>
      <c r="I18" s="588" t="str">
        <f t="shared" si="0"/>
        <v/>
      </c>
      <c r="J18" s="584" t="str">
        <f>IF(I18="","",IF(H18="8mm",VLOOKUP(B18,BDD!$A$8:$H$107,3,0),IF(H18="10mm",VLOOKUP(B18,BDD!$A$8:$H$107,4,0),IF(H18="16mm",VLOOKUP(B18,BDD!$A$8:$H$107,5,0),IF(H18="22mm",VLOOKUP(B18,BDD!$A$8:$H$107,7,0),VLOOKUP(B18,BDD!$A$8:$H$107,6,0))))))</f>
        <v/>
      </c>
      <c r="K18" s="589" t="str">
        <f>IF(J18="","",IF(VLOOKUP(B18,BDD!A:T,18,0)="luxe",$M$44,$M$45))</f>
        <v/>
      </c>
      <c r="L18" s="735" t="str">
        <f t="shared" si="1"/>
        <v/>
      </c>
      <c r="M18" s="736"/>
      <c r="N18" s="132" t="str">
        <f>IF(B18="","",IF(VLOOKUP(B18,BDD!$A$8:$R$107,8,0)="yes","","*"))</f>
        <v/>
      </c>
      <c r="O18" s="143" t="str">
        <f t="shared" si="2"/>
        <v/>
      </c>
    </row>
    <row r="19" spans="1:15" ht="23.1" customHeight="1" x14ac:dyDescent="0.25">
      <c r="A19" s="99"/>
      <c r="B19" s="734"/>
      <c r="C19" s="734"/>
      <c r="D19" s="734"/>
      <c r="E19" s="734"/>
      <c r="F19" s="734"/>
      <c r="G19" s="734"/>
      <c r="H19" s="587"/>
      <c r="I19" s="588" t="str">
        <f t="shared" si="0"/>
        <v/>
      </c>
      <c r="J19" s="584" t="str">
        <f>IF(I19="","",IF(H19="8mm",VLOOKUP(B19,BDD!$A$8:$H$107,3,0),IF(H19="10mm",VLOOKUP(B19,BDD!$A$8:$H$107,4,0),IF(H19="16mm",VLOOKUP(B19,BDD!$A$8:$H$107,5,0),IF(H19="22mm",VLOOKUP(B19,BDD!$A$8:$H$107,7,0),VLOOKUP(B19,BDD!$A$8:$H$107,6,0))))))</f>
        <v/>
      </c>
      <c r="K19" s="589" t="str">
        <f>IF(J19="","",IF(VLOOKUP(B19,BDD!A:T,18,0)="luxe",$M$44,$M$45))</f>
        <v/>
      </c>
      <c r="L19" s="735" t="str">
        <f t="shared" si="1"/>
        <v/>
      </c>
      <c r="M19" s="736"/>
      <c r="N19" s="132" t="str">
        <f>IF(B19="","",IF(VLOOKUP(B19,BDD!$A$8:$R$107,8,0)="yes","","*"))</f>
        <v/>
      </c>
      <c r="O19" s="143" t="str">
        <f t="shared" si="2"/>
        <v/>
      </c>
    </row>
    <row r="20" spans="1:15" ht="23.1" customHeight="1" x14ac:dyDescent="0.25">
      <c r="A20" s="99"/>
      <c r="B20" s="734"/>
      <c r="C20" s="734"/>
      <c r="D20" s="734"/>
      <c r="E20" s="734"/>
      <c r="F20" s="734"/>
      <c r="G20" s="734"/>
      <c r="H20" s="587"/>
      <c r="I20" s="588" t="str">
        <f t="shared" si="0"/>
        <v/>
      </c>
      <c r="J20" s="584" t="str">
        <f>IF(I20="","",IF(H20="8mm",VLOOKUP(B20,BDD!$A$8:$H$107,3,0),IF(H20="10mm",VLOOKUP(B20,BDD!$A$8:$H$107,4,0),IF(H20="16mm",VLOOKUP(B20,BDD!$A$8:$H$107,5,0),IF(H20="22mm",VLOOKUP(B20,BDD!$A$8:$H$107,7,0),VLOOKUP(B20,BDD!$A$8:$H$107,6,0))))))</f>
        <v/>
      </c>
      <c r="K20" s="589" t="str">
        <f>IF(J20="","",IF(VLOOKUP(B20,BDD!A:T,18,0)="luxe",$M$44,$M$45))</f>
        <v/>
      </c>
      <c r="L20" s="735" t="str">
        <f t="shared" si="1"/>
        <v/>
      </c>
      <c r="M20" s="736"/>
      <c r="N20" s="132" t="str">
        <f>IF(B20="","",IF(VLOOKUP(B20,BDD!$A$8:$R$107,8,0)="yes","","*"))</f>
        <v/>
      </c>
      <c r="O20" s="143" t="str">
        <f t="shared" si="2"/>
        <v/>
      </c>
    </row>
    <row r="21" spans="1:15" ht="23.1" customHeight="1" x14ac:dyDescent="0.25">
      <c r="A21" s="99"/>
      <c r="B21" s="734"/>
      <c r="C21" s="734"/>
      <c r="D21" s="734"/>
      <c r="E21" s="734"/>
      <c r="F21" s="734"/>
      <c r="G21" s="734"/>
      <c r="H21" s="587"/>
      <c r="I21" s="588" t="str">
        <f t="shared" si="0"/>
        <v/>
      </c>
      <c r="J21" s="584" t="str">
        <f>IF(I21="","",IF(H21="8mm",VLOOKUP(B21,BDD!$A$8:$H$107,3,0),IF(H21="10mm",VLOOKUP(B21,BDD!$A$8:$H$107,4,0),IF(H21="16mm",VLOOKUP(B21,BDD!$A$8:$H$107,5,0),IF(H21="22mm",VLOOKUP(B21,BDD!$A$8:$H$107,7,0),VLOOKUP(B21,BDD!$A$8:$H$107,6,0))))))</f>
        <v/>
      </c>
      <c r="K21" s="589" t="str">
        <f>IF(J21="","",IF(VLOOKUP(B21,BDD!A:T,18,0)="luxe",$M$44,$M$45))</f>
        <v/>
      </c>
      <c r="L21" s="735" t="str">
        <f t="shared" si="1"/>
        <v/>
      </c>
      <c r="M21" s="736"/>
      <c r="N21" s="132" t="str">
        <f>IF(B21="","",IF(VLOOKUP(B21,BDD!$A$8:$R$107,8,0)="yes","","*"))</f>
        <v/>
      </c>
      <c r="O21" s="143" t="str">
        <f t="shared" si="2"/>
        <v/>
      </c>
    </row>
    <row r="22" spans="1:15" ht="23.1" customHeight="1" x14ac:dyDescent="0.25">
      <c r="A22" s="99"/>
      <c r="B22" s="734"/>
      <c r="C22" s="734"/>
      <c r="D22" s="734"/>
      <c r="E22" s="734"/>
      <c r="F22" s="734"/>
      <c r="G22" s="734"/>
      <c r="H22" s="587"/>
      <c r="I22" s="588" t="str">
        <f t="shared" si="0"/>
        <v/>
      </c>
      <c r="J22" s="584" t="str">
        <f>IF(I22="","",IF(H22="8mm",VLOOKUP(B22,BDD!$A$8:$H$107,3,0),IF(H22="10mm",VLOOKUP(B22,BDD!$A$8:$H$107,4,0),IF(H22="16mm",VLOOKUP(B22,BDD!$A$8:$H$107,5,0),IF(H22="22mm",VLOOKUP(B22,BDD!$A$8:$H$107,7,0),VLOOKUP(B22,BDD!$A$8:$H$107,6,0))))))</f>
        <v/>
      </c>
      <c r="K22" s="589" t="str">
        <f>IF(J22="","",IF(VLOOKUP(B22,BDD!A:T,18,0)="luxe",$M$44,$M$45))</f>
        <v/>
      </c>
      <c r="L22" s="735" t="str">
        <f t="shared" si="1"/>
        <v/>
      </c>
      <c r="M22" s="736"/>
      <c r="N22" s="132" t="str">
        <f>IF(B22="","",IF(VLOOKUP(B22,BDD!$A$8:$R$107,8,0)="yes","","*"))</f>
        <v/>
      </c>
      <c r="O22" s="143" t="str">
        <f t="shared" si="2"/>
        <v/>
      </c>
    </row>
    <row r="23" spans="1:15" ht="23.1" customHeight="1" x14ac:dyDescent="0.25">
      <c r="A23" s="99"/>
      <c r="B23" s="734"/>
      <c r="C23" s="734"/>
      <c r="D23" s="734"/>
      <c r="E23" s="734"/>
      <c r="F23" s="734"/>
      <c r="G23" s="734"/>
      <c r="H23" s="587"/>
      <c r="I23" s="588" t="str">
        <f t="shared" si="0"/>
        <v/>
      </c>
      <c r="J23" s="584" t="str">
        <f>IF(I23="","",IF(H23="8mm",VLOOKUP(B23,BDD!$A$8:$H$107,3,0),IF(H23="10mm",VLOOKUP(B23,BDD!$A$8:$H$107,4,0),IF(H23="16mm",VLOOKUP(B23,BDD!$A$8:$H$107,5,0),IF(H23="22mm",VLOOKUP(B23,BDD!$A$8:$H$107,7,0),VLOOKUP(B23,BDD!$A$8:$H$107,6,0))))))</f>
        <v/>
      </c>
      <c r="K23" s="589" t="str">
        <f>IF(J23="","",IF(VLOOKUP(B23,BDD!A:T,18,0)="luxe",$M$44,$M$45))</f>
        <v/>
      </c>
      <c r="L23" s="735" t="str">
        <f t="shared" si="1"/>
        <v/>
      </c>
      <c r="M23" s="736"/>
      <c r="N23" s="132" t="str">
        <f>IF(B23="","",IF(VLOOKUP(B23,BDD!$A$8:$R$107,8,0)="yes","","*"))</f>
        <v/>
      </c>
      <c r="O23" s="143" t="str">
        <f t="shared" si="2"/>
        <v/>
      </c>
    </row>
    <row r="24" spans="1:15" ht="23.1" customHeight="1" x14ac:dyDescent="0.25">
      <c r="A24" s="99"/>
      <c r="B24" s="734"/>
      <c r="C24" s="734"/>
      <c r="D24" s="734"/>
      <c r="E24" s="734"/>
      <c r="F24" s="734"/>
      <c r="G24" s="734"/>
      <c r="H24" s="587"/>
      <c r="I24" s="588" t="str">
        <f t="shared" si="0"/>
        <v/>
      </c>
      <c r="J24" s="584" t="str">
        <f>IF(I24="","",IF(H24="8mm",VLOOKUP(B24,BDD!$A$8:$H$107,3,0),IF(H24="10mm",VLOOKUP(B24,BDD!$A$8:$H$107,4,0),IF(H24="16mm",VLOOKUP(B24,BDD!$A$8:$H$107,5,0),IF(H24="22mm",VLOOKUP(B24,BDD!$A$8:$H$107,7,0),VLOOKUP(B24,BDD!$A$8:$H$107,6,0))))))</f>
        <v/>
      </c>
      <c r="K24" s="589" t="str">
        <f>IF(J24="","",IF(VLOOKUP(B24,BDD!A:T,18,0)="luxe",$M$44,$M$45))</f>
        <v/>
      </c>
      <c r="L24" s="735" t="str">
        <f t="shared" si="1"/>
        <v/>
      </c>
      <c r="M24" s="736"/>
      <c r="N24" s="132" t="str">
        <f>IF(B24="","",IF(VLOOKUP(B24,BDD!$A$8:$R$107,8,0)="yes","","*"))</f>
        <v/>
      </c>
      <c r="O24" s="143" t="str">
        <f t="shared" si="2"/>
        <v/>
      </c>
    </row>
    <row r="25" spans="1:15" ht="23.1" customHeight="1" x14ac:dyDescent="0.25">
      <c r="A25" s="99"/>
      <c r="B25" s="734"/>
      <c r="C25" s="734"/>
      <c r="D25" s="734"/>
      <c r="E25" s="734"/>
      <c r="F25" s="734"/>
      <c r="G25" s="734"/>
      <c r="H25" s="587"/>
      <c r="I25" s="588" t="str">
        <f t="shared" si="0"/>
        <v/>
      </c>
      <c r="J25" s="584" t="str">
        <f>IF(I25="","",IF(H25="8mm",VLOOKUP(B25,BDD!$A$8:$H$107,3,0),IF(H25="10mm",VLOOKUP(B25,BDD!$A$8:$H$107,4,0),IF(H25="16mm",VLOOKUP(B25,BDD!$A$8:$H$107,5,0),IF(H25="22mm",VLOOKUP(B25,BDD!$A$8:$H$107,7,0),VLOOKUP(B25,BDD!$A$8:$H$107,6,0))))))</f>
        <v/>
      </c>
      <c r="K25" s="589" t="str">
        <f>IF(J25="","",IF(VLOOKUP(B25,BDD!A:T,18,0)="luxe",$M$44,$M$45))</f>
        <v/>
      </c>
      <c r="L25" s="735" t="str">
        <f t="shared" si="1"/>
        <v/>
      </c>
      <c r="M25" s="736"/>
      <c r="N25" s="132" t="str">
        <f>IF(B25="","",IF(VLOOKUP(B25,BDD!$A$8:$R$107,8,0)="yes","","*"))</f>
        <v/>
      </c>
      <c r="O25" s="143" t="str">
        <f t="shared" si="2"/>
        <v/>
      </c>
    </row>
    <row r="26" spans="1:15" ht="23.1" customHeight="1" x14ac:dyDescent="0.25">
      <c r="A26" s="99"/>
      <c r="B26" s="734"/>
      <c r="C26" s="734"/>
      <c r="D26" s="734"/>
      <c r="E26" s="734"/>
      <c r="F26" s="734"/>
      <c r="G26" s="734"/>
      <c r="H26" s="587"/>
      <c r="I26" s="588" t="str">
        <f t="shared" si="0"/>
        <v/>
      </c>
      <c r="J26" s="584" t="str">
        <f>IF(I26="","",IF(H26="8mm",VLOOKUP(B26,BDD!$A$8:$H$107,3,0),IF(H26="10mm",VLOOKUP(B26,BDD!$A$8:$H$107,4,0),IF(H26="16mm",VLOOKUP(B26,BDD!$A$8:$H$107,5,0),IF(H26="22mm",VLOOKUP(B26,BDD!$A$8:$H$107,7,0),VLOOKUP(B26,BDD!$A$8:$H$107,6,0))))))</f>
        <v/>
      </c>
      <c r="K26" s="589" t="str">
        <f>IF(J26="","",IF(VLOOKUP(B26,BDD!A:T,18,0)="luxe",$M$44,$M$45))</f>
        <v/>
      </c>
      <c r="L26" s="735" t="str">
        <f t="shared" si="1"/>
        <v/>
      </c>
      <c r="M26" s="736"/>
      <c r="N26" s="132" t="str">
        <f>IF(B26="","",IF(VLOOKUP(B26,BDD!$A$8:$R$107,8,0)="yes","","*"))</f>
        <v/>
      </c>
      <c r="O26" s="143" t="str">
        <f t="shared" si="2"/>
        <v/>
      </c>
    </row>
    <row r="27" spans="1:15" ht="23.1" customHeight="1" x14ac:dyDescent="0.25">
      <c r="A27" s="99"/>
      <c r="B27" s="734"/>
      <c r="C27" s="734"/>
      <c r="D27" s="734"/>
      <c r="E27" s="734"/>
      <c r="F27" s="734"/>
      <c r="G27" s="734"/>
      <c r="H27" s="587"/>
      <c r="I27" s="588" t="str">
        <f t="shared" si="0"/>
        <v/>
      </c>
      <c r="J27" s="584" t="str">
        <f>IF(I27="","",IF(H27="8mm",VLOOKUP(B27,BDD!$A$8:$H$107,3,0),IF(H27="10mm",VLOOKUP(B27,BDD!$A$8:$H$107,4,0),IF(H27="16mm",VLOOKUP(B27,BDD!$A$8:$H$107,5,0),IF(H27="22mm",VLOOKUP(B27,BDD!$A$8:$H$107,7,0),VLOOKUP(B27,BDD!$A$8:$H$107,6,0))))))</f>
        <v/>
      </c>
      <c r="K27" s="589" t="str">
        <f>IF(J27="","",IF(VLOOKUP(B27,BDD!A:T,18,0)="luxe",$M$44,$M$45))</f>
        <v/>
      </c>
      <c r="L27" s="735" t="str">
        <f t="shared" si="1"/>
        <v/>
      </c>
      <c r="M27" s="736"/>
      <c r="N27" s="132" t="str">
        <f>IF(B27="","",IF(VLOOKUP(B27,BDD!$A$8:$R$107,8,0)="yes","","*"))</f>
        <v/>
      </c>
      <c r="O27" s="143" t="str">
        <f t="shared" si="2"/>
        <v/>
      </c>
    </row>
    <row r="28" spans="1:15" ht="23.1" customHeight="1" x14ac:dyDescent="0.25">
      <c r="A28" s="99"/>
      <c r="B28" s="734"/>
      <c r="C28" s="734"/>
      <c r="D28" s="734"/>
      <c r="E28" s="734"/>
      <c r="F28" s="734"/>
      <c r="G28" s="734"/>
      <c r="H28" s="587"/>
      <c r="I28" s="588" t="str">
        <f t="shared" si="0"/>
        <v/>
      </c>
      <c r="J28" s="584" t="str">
        <f>IF(I28="","",IF(H28="8mm",VLOOKUP(B28,BDD!$A$8:$H$107,3,0),IF(H28="10mm",VLOOKUP(B28,BDD!$A$8:$H$107,4,0),IF(H28="16mm",VLOOKUP(B28,BDD!$A$8:$H$107,5,0),IF(H28="22mm",VLOOKUP(B28,BDD!$A$8:$H$107,7,0),VLOOKUP(B28,BDD!$A$8:$H$107,6,0))))))</f>
        <v/>
      </c>
      <c r="K28" s="589" t="str">
        <f>IF(J28="","",IF(VLOOKUP(B28,BDD!A:T,18,0)="luxe",$M$44,$M$45))</f>
        <v/>
      </c>
      <c r="L28" s="735" t="str">
        <f t="shared" si="1"/>
        <v/>
      </c>
      <c r="M28" s="736"/>
      <c r="N28" s="132" t="str">
        <f>IF(B28="","",IF(VLOOKUP(B28,BDD!$A$8:$R$107,8,0)="yes","","*"))</f>
        <v/>
      </c>
      <c r="O28" s="143" t="str">
        <f t="shared" si="2"/>
        <v/>
      </c>
    </row>
    <row r="29" spans="1:15" ht="23.1" customHeight="1" x14ac:dyDescent="0.25">
      <c r="A29" s="99"/>
      <c r="B29" s="734"/>
      <c r="C29" s="734"/>
      <c r="D29" s="734"/>
      <c r="E29" s="734"/>
      <c r="F29" s="734"/>
      <c r="G29" s="734"/>
      <c r="H29" s="587"/>
      <c r="I29" s="588" t="str">
        <f t="shared" si="0"/>
        <v/>
      </c>
      <c r="J29" s="584" t="str">
        <f>IF(I29="","",IF(H29="8mm",VLOOKUP(B29,BDD!$A$8:$H$107,3,0),IF(H29="10mm",VLOOKUP(B29,BDD!$A$8:$H$107,4,0),IF(H29="16mm",VLOOKUP(B29,BDD!$A$8:$H$107,5,0),IF(H29="22mm",VLOOKUP(B29,BDD!$A$8:$H$107,7,0),VLOOKUP(B29,BDD!$A$8:$H$107,6,0))))))</f>
        <v/>
      </c>
      <c r="K29" s="589" t="str">
        <f>IF(J29="","",IF(VLOOKUP(B29,BDD!A:T,18,0)="luxe",$M$44,$M$45))</f>
        <v/>
      </c>
      <c r="L29" s="735" t="str">
        <f t="shared" si="1"/>
        <v/>
      </c>
      <c r="M29" s="736"/>
      <c r="N29" s="132" t="str">
        <f>IF(B29="","",IF(VLOOKUP(B29,BDD!$A$8:$R$107,8,0)="yes","","*"))</f>
        <v/>
      </c>
      <c r="O29" s="143" t="str">
        <f t="shared" si="2"/>
        <v/>
      </c>
    </row>
    <row r="30" spans="1:15" ht="23.1" customHeight="1" x14ac:dyDescent="0.25">
      <c r="A30" s="99"/>
      <c r="B30" s="734"/>
      <c r="C30" s="734"/>
      <c r="D30" s="734"/>
      <c r="E30" s="734"/>
      <c r="F30" s="734"/>
      <c r="G30" s="734"/>
      <c r="H30" s="587"/>
      <c r="I30" s="588" t="str">
        <f t="shared" si="0"/>
        <v/>
      </c>
      <c r="J30" s="584" t="str">
        <f>IF(I30="","",IF(H30="8mm",VLOOKUP(B30,BDD!$A$8:$H$107,3,0),IF(H30="10mm",VLOOKUP(B30,BDD!$A$8:$H$107,4,0),IF(H30="16mm",VLOOKUP(B30,BDD!$A$8:$H$107,5,0),IF(H30="22mm",VLOOKUP(B30,BDD!$A$8:$H$107,7,0),VLOOKUP(B30,BDD!$A$8:$H$107,6,0))))))</f>
        <v/>
      </c>
      <c r="K30" s="589" t="str">
        <f>IF(J30="","",IF(VLOOKUP(B30,BDD!A:T,18,0)="luxe",$M$44,$M$45))</f>
        <v/>
      </c>
      <c r="L30" s="735" t="str">
        <f t="shared" si="1"/>
        <v/>
      </c>
      <c r="M30" s="736"/>
      <c r="N30" s="132" t="str">
        <f>IF(B30="","",IF(VLOOKUP(B30,BDD!$A$8:$R$107,8,0)="yes","","*"))</f>
        <v/>
      </c>
      <c r="O30" s="143" t="str">
        <f t="shared" si="2"/>
        <v/>
      </c>
    </row>
    <row r="31" spans="1:15" ht="23.1" customHeight="1" x14ac:dyDescent="0.25">
      <c r="A31" s="99"/>
      <c r="B31" s="734"/>
      <c r="C31" s="734"/>
      <c r="D31" s="734"/>
      <c r="E31" s="734"/>
      <c r="F31" s="734"/>
      <c r="G31" s="734"/>
      <c r="H31" s="587"/>
      <c r="I31" s="588" t="str">
        <f t="shared" si="0"/>
        <v/>
      </c>
      <c r="J31" s="584" t="str">
        <f>IF(I31="","",IF(H31="8mm",VLOOKUP(B31,BDD!$A$8:$H$107,3,0),IF(H31="10mm",VLOOKUP(B31,BDD!$A$8:$H$107,4,0),IF(H31="16mm",VLOOKUP(B31,BDD!$A$8:$H$107,5,0),IF(H31="22mm",VLOOKUP(B31,BDD!$A$8:$H$107,7,0),VLOOKUP(B31,BDD!$A$8:$H$107,6,0))))))</f>
        <v/>
      </c>
      <c r="K31" s="589" t="str">
        <f>IF(J31="","",IF(VLOOKUP(B31,BDD!A:T,18,0)="luxe",$M$44,$M$45))</f>
        <v/>
      </c>
      <c r="L31" s="735" t="str">
        <f t="shared" si="1"/>
        <v/>
      </c>
      <c r="M31" s="736"/>
      <c r="N31" s="132" t="str">
        <f>IF(B31="","",IF(VLOOKUP(B31,BDD!$A$8:$R$107,8,0)="yes","","*"))</f>
        <v/>
      </c>
      <c r="O31" s="143" t="str">
        <f t="shared" si="2"/>
        <v/>
      </c>
    </row>
    <row r="32" spans="1:15" ht="23.1" customHeight="1" x14ac:dyDescent="0.25">
      <c r="A32" s="99"/>
      <c r="B32" s="734"/>
      <c r="C32" s="734"/>
      <c r="D32" s="734"/>
      <c r="E32" s="734"/>
      <c r="F32" s="734"/>
      <c r="G32" s="734"/>
      <c r="H32" s="587"/>
      <c r="I32" s="588" t="str">
        <f t="shared" si="0"/>
        <v/>
      </c>
      <c r="J32" s="584" t="str">
        <f>IF(I32="","",IF(H32="8mm",VLOOKUP(B32,BDD!$A$8:$H$107,3,0),IF(H32="10mm",VLOOKUP(B32,BDD!$A$8:$H$107,4,0),IF(H32="16mm",VLOOKUP(B32,BDD!$A$8:$H$107,5,0),IF(H32="22mm",VLOOKUP(B32,BDD!$A$8:$H$107,7,0),VLOOKUP(B32,BDD!$A$8:$H$107,6,0))))))</f>
        <v/>
      </c>
      <c r="K32" s="589" t="str">
        <f>IF(J32="","",IF(VLOOKUP(B32,BDD!A:T,18,0)="luxe",$M$44,$M$45))</f>
        <v/>
      </c>
      <c r="L32" s="735" t="str">
        <f t="shared" si="1"/>
        <v/>
      </c>
      <c r="M32" s="736"/>
      <c r="N32" s="132" t="str">
        <f>IF(B32="","",IF(VLOOKUP(B32,BDD!$A$8:$R$107,8,0)="yes","","*"))</f>
        <v/>
      </c>
      <c r="O32" s="143" t="str">
        <f t="shared" si="2"/>
        <v/>
      </c>
    </row>
    <row r="33" spans="1:15" ht="23.1" customHeight="1" x14ac:dyDescent="0.25">
      <c r="A33" s="99"/>
      <c r="B33" s="734"/>
      <c r="C33" s="734"/>
      <c r="D33" s="734"/>
      <c r="E33" s="734"/>
      <c r="F33" s="734"/>
      <c r="G33" s="734"/>
      <c r="H33" s="587"/>
      <c r="I33" s="588" t="str">
        <f t="shared" si="0"/>
        <v/>
      </c>
      <c r="J33" s="584" t="str">
        <f>IF(I33="","",IF(H33="8mm",VLOOKUP(B33,BDD!$A$8:$H$107,3,0),IF(H33="10mm",VLOOKUP(B33,BDD!$A$8:$H$107,4,0),IF(H33="16mm",VLOOKUP(B33,BDD!$A$8:$H$107,5,0),IF(H33="22mm",VLOOKUP(B33,BDD!$A$8:$H$107,7,0),VLOOKUP(B33,BDD!$A$8:$H$107,6,0))))))</f>
        <v/>
      </c>
      <c r="K33" s="589" t="str">
        <f>IF(J33="","",IF(VLOOKUP(B33,BDD!A:T,18,0)="luxe",$M$44,$M$45))</f>
        <v/>
      </c>
      <c r="L33" s="735" t="str">
        <f t="shared" si="1"/>
        <v/>
      </c>
      <c r="M33" s="736"/>
      <c r="N33" s="132" t="str">
        <f>IF(B33="","",IF(VLOOKUP(B33,BDD!$A$8:$R$107,8,0)="yes","","*"))</f>
        <v/>
      </c>
      <c r="O33" s="143" t="str">
        <f t="shared" si="2"/>
        <v/>
      </c>
    </row>
    <row r="34" spans="1:15" ht="23.1" customHeight="1" x14ac:dyDescent="0.25">
      <c r="A34" s="99"/>
      <c r="B34" s="734"/>
      <c r="C34" s="734"/>
      <c r="D34" s="734"/>
      <c r="E34" s="734"/>
      <c r="F34" s="734"/>
      <c r="G34" s="734"/>
      <c r="H34" s="587"/>
      <c r="I34" s="588" t="str">
        <f t="shared" si="0"/>
        <v/>
      </c>
      <c r="J34" s="584" t="str">
        <f>IF(I34="","",IF(H34="8mm",VLOOKUP(B34,BDD!$A$8:$H$107,3,0),IF(H34="10mm",VLOOKUP(B34,BDD!$A$8:$H$107,4,0),IF(H34="16mm",VLOOKUP(B34,BDD!$A$8:$H$107,5,0),IF(H34="22mm",VLOOKUP(B34,BDD!$A$8:$H$107,7,0),VLOOKUP(B34,BDD!$A$8:$H$107,6,0))))))</f>
        <v/>
      </c>
      <c r="K34" s="589" t="str">
        <f>IF(J34="","",IF(VLOOKUP(B34,BDD!A:T,18,0)="luxe",$M$44,$M$45))</f>
        <v/>
      </c>
      <c r="L34" s="735" t="str">
        <f t="shared" si="1"/>
        <v/>
      </c>
      <c r="M34" s="736"/>
      <c r="N34" s="132" t="str">
        <f>IF(B34="","",IF(VLOOKUP(B34,BDD!$A$8:$R$107,8,0)="yes","","*"))</f>
        <v/>
      </c>
      <c r="O34" s="143" t="str">
        <f t="shared" si="2"/>
        <v/>
      </c>
    </row>
    <row r="35" spans="1:15" ht="23.1" customHeight="1" x14ac:dyDescent="0.25">
      <c r="A35" s="99"/>
      <c r="B35" s="734"/>
      <c r="C35" s="734"/>
      <c r="D35" s="734"/>
      <c r="E35" s="734"/>
      <c r="F35" s="734"/>
      <c r="G35" s="734"/>
      <c r="H35" s="587"/>
      <c r="I35" s="588" t="str">
        <f t="shared" si="0"/>
        <v/>
      </c>
      <c r="J35" s="584" t="str">
        <f>IF(I35="","",IF(H35="8mm",VLOOKUP(B35,BDD!$A$8:$H$107,3,0),IF(H35="10mm",VLOOKUP(B35,BDD!$A$8:$H$107,4,0),IF(H35="16mm",VLOOKUP(B35,BDD!$A$8:$H$107,5,0),IF(H35="22mm",VLOOKUP(B35,BDD!$A$8:$H$107,7,0),VLOOKUP(B35,BDD!$A$8:$H$107,6,0))))))</f>
        <v/>
      </c>
      <c r="K35" s="589" t="str">
        <f>IF(J35="","",IF(VLOOKUP(B35,BDD!A:T,18,0)="luxe",$M$44,$M$45))</f>
        <v/>
      </c>
      <c r="L35" s="735" t="str">
        <f t="shared" si="1"/>
        <v/>
      </c>
      <c r="M35" s="736"/>
      <c r="N35" s="132" t="str">
        <f>IF(B35="","",IF(VLOOKUP(B35,BDD!$A$8:$R$107,8,0)="yes","","*"))</f>
        <v/>
      </c>
      <c r="O35" s="143" t="str">
        <f t="shared" si="2"/>
        <v/>
      </c>
    </row>
    <row r="36" spans="1:15" ht="23.1" customHeight="1" x14ac:dyDescent="0.25">
      <c r="A36" s="99"/>
      <c r="B36" s="734"/>
      <c r="C36" s="734"/>
      <c r="D36" s="734"/>
      <c r="E36" s="734"/>
      <c r="F36" s="734"/>
      <c r="G36" s="734"/>
      <c r="H36" s="587"/>
      <c r="I36" s="588" t="str">
        <f t="shared" si="0"/>
        <v/>
      </c>
      <c r="J36" s="584" t="str">
        <f>IF(I36="","",IF(H36="8mm",VLOOKUP(B36,BDD!$A$8:$H$107,3,0),IF(H36="10mm",VLOOKUP(B36,BDD!$A$8:$H$107,4,0),IF(H36="16mm",VLOOKUP(B36,BDD!$A$8:$H$107,5,0),IF(H36="22mm",VLOOKUP(B36,BDD!$A$8:$H$107,7,0),VLOOKUP(B36,BDD!$A$8:$H$107,6,0))))))</f>
        <v/>
      </c>
      <c r="K36" s="589" t="str">
        <f>IF(J36="","",IF(VLOOKUP(B36,BDD!A:T,18,0)="luxe",$M$44,$M$45))</f>
        <v/>
      </c>
      <c r="L36" s="735" t="str">
        <f t="shared" si="1"/>
        <v/>
      </c>
      <c r="M36" s="736"/>
      <c r="N36" s="132" t="str">
        <f>IF(B36="","",IF(VLOOKUP(B36,BDD!$A$8:$R$107,8,0)="yes","","*"))</f>
        <v/>
      </c>
      <c r="O36" s="143" t="str">
        <f t="shared" si="2"/>
        <v/>
      </c>
    </row>
    <row r="37" spans="1:15" ht="23.1" customHeight="1" x14ac:dyDescent="0.25">
      <c r="A37" s="99"/>
      <c r="B37" s="734"/>
      <c r="C37" s="734"/>
      <c r="D37" s="734"/>
      <c r="E37" s="734"/>
      <c r="F37" s="734"/>
      <c r="G37" s="734"/>
      <c r="H37" s="587"/>
      <c r="I37" s="588" t="str">
        <f t="shared" si="0"/>
        <v/>
      </c>
      <c r="J37" s="584" t="str">
        <f>IF(I37="","",IF(H37="8mm",VLOOKUP(B37,BDD!$A$8:$H$107,3,0),IF(H37="10mm",VLOOKUP(B37,BDD!$A$8:$H$107,4,0),IF(H37="16mm",VLOOKUP(B37,BDD!$A$8:$H$107,5,0),IF(H37="22mm",VLOOKUP(B37,BDD!$A$8:$H$107,7,0),VLOOKUP(B37,BDD!$A$8:$H$107,6,0))))))</f>
        <v/>
      </c>
      <c r="K37" s="589" t="str">
        <f>IF(J37="","",IF(VLOOKUP(B37,BDD!A:T,18,0)="luxe",$M$44,$M$45))</f>
        <v/>
      </c>
      <c r="L37" s="735" t="str">
        <f t="shared" si="1"/>
        <v/>
      </c>
      <c r="M37" s="736"/>
      <c r="N37" s="132" t="str">
        <f>IF(B37="","",IF(VLOOKUP(B37,BDD!$A$8:$R$107,8,0)="yes","","*"))</f>
        <v/>
      </c>
      <c r="O37" s="143" t="str">
        <f t="shared" si="2"/>
        <v/>
      </c>
    </row>
    <row r="38" spans="1:15" ht="23.1" customHeight="1" x14ac:dyDescent="0.25">
      <c r="A38" s="99"/>
      <c r="B38" s="734"/>
      <c r="C38" s="734"/>
      <c r="D38" s="734"/>
      <c r="E38" s="734"/>
      <c r="F38" s="734"/>
      <c r="G38" s="734"/>
      <c r="H38" s="587"/>
      <c r="I38" s="588" t="str">
        <f t="shared" si="0"/>
        <v/>
      </c>
      <c r="J38" s="584" t="str">
        <f>IF(I38="","",IF(H38="8mm",VLOOKUP(B38,BDD!$A$8:$H$107,3,0),IF(H38="10mm",VLOOKUP(B38,BDD!$A$8:$H$107,4,0),IF(H38="16mm",VLOOKUP(B38,BDD!$A$8:$H$107,5,0),IF(H38="22mm",VLOOKUP(B38,BDD!$A$8:$H$107,7,0),VLOOKUP(B38,BDD!$A$8:$H$107,6,0))))))</f>
        <v/>
      </c>
      <c r="K38" s="589" t="str">
        <f>IF(J38="","",IF(VLOOKUP(B38,BDD!A:T,18,0)="luxe",$M$44,$M$45))</f>
        <v/>
      </c>
      <c r="L38" s="735" t="str">
        <f t="shared" si="1"/>
        <v/>
      </c>
      <c r="M38" s="736"/>
      <c r="N38" s="132" t="str">
        <f>IF(B38="","",IF(VLOOKUP(B38,BDD!$A$8:$R$107,8,0)="yes","","*"))</f>
        <v/>
      </c>
      <c r="O38" s="143" t="str">
        <f t="shared" si="2"/>
        <v/>
      </c>
    </row>
    <row r="39" spans="1:15" ht="23.1" customHeight="1" thickBot="1" x14ac:dyDescent="0.3">
      <c r="A39" s="175"/>
      <c r="B39" s="739"/>
      <c r="C39" s="739"/>
      <c r="D39" s="739"/>
      <c r="E39" s="739"/>
      <c r="F39" s="739"/>
      <c r="G39" s="739"/>
      <c r="H39" s="590"/>
      <c r="I39" s="176" t="str">
        <f t="shared" si="0"/>
        <v/>
      </c>
      <c r="J39" s="177" t="str">
        <f>IF(I39="","",IF(H39="8mm",VLOOKUP(B39,BDD!$A$8:$H$107,3,0),IF(H39="10mm",VLOOKUP(B39,BDD!$A$8:$H$107,4,0),IF(H39="16mm",VLOOKUP(B39,BDD!$A$8:$H$107,5,0),IF(H39="22mm",VLOOKUP(B39,BDD!$A$8:$H$107,7,0),VLOOKUP(B39,BDD!$A$8:$H$107,6,0))))))</f>
        <v/>
      </c>
      <c r="K39" s="178" t="str">
        <f>IF(J39="","",IF(VLOOKUP(B39,BDD!A:T,18,0)="luxe",$M$44,$M$45))</f>
        <v/>
      </c>
      <c r="L39" s="740" t="str">
        <f t="shared" si="1"/>
        <v/>
      </c>
      <c r="M39" s="741"/>
      <c r="N39" s="132" t="str">
        <f>IF(B39="","",IF(VLOOKUP(B39,BDD!$A$8:$R$107,8,0)="yes","","*"))</f>
        <v/>
      </c>
      <c r="O39" s="143" t="str">
        <f t="shared" si="2"/>
        <v/>
      </c>
    </row>
    <row r="40" spans="1:15" ht="20.100000000000001" customHeight="1" x14ac:dyDescent="0.25">
      <c r="A40" s="133" t="str">
        <f>IF(COUNTBLANK(N10:N39)=30,"", "* Some references are not in Stock. Delivery time will be 8 weeks")</f>
        <v/>
      </c>
      <c r="B40" s="133" t="str">
        <f>IF(COUNTBLANK(O10:O39)=30,"", "* Some references are not in Stock. Delivery time will be 8 weeks")</f>
        <v/>
      </c>
      <c r="D40" s="32"/>
      <c r="E40" s="743" t="s">
        <v>86</v>
      </c>
      <c r="F40" s="743"/>
      <c r="G40" s="743"/>
      <c r="H40" s="743"/>
      <c r="I40" s="101">
        <f>SUM(I10:I39)</f>
        <v>0</v>
      </c>
      <c r="J40" s="738" t="s">
        <v>84</v>
      </c>
      <c r="K40" s="738"/>
      <c r="L40" s="742">
        <f>SUM(L10:M39)</f>
        <v>0</v>
      </c>
      <c r="M40" s="742"/>
      <c r="N40" s="102"/>
      <c r="O40" s="32"/>
    </row>
    <row r="41" spans="1:15" ht="20.100000000000001" customHeight="1" x14ac:dyDescent="0.25">
      <c r="A41" s="103" t="str">
        <f>IF(A40="* Some references are not in Stock. Delivery time will be 8 weeks","* Some references are not in Stock. Delivery time will be 8 weeks",IF(B40="* Some references are not in Stock. Delivery time will be 8 weeks","* Some references are not in Stock. Delivery time will be 8 weeks",""))</f>
        <v/>
      </c>
      <c r="B41" s="104"/>
      <c r="C41" s="104"/>
      <c r="D41" s="32"/>
      <c r="E41" s="105"/>
      <c r="F41" s="32"/>
      <c r="G41" s="104"/>
      <c r="H41" s="106"/>
      <c r="J41" s="738" t="s">
        <v>226</v>
      </c>
      <c r="K41" s="738"/>
      <c r="L41" s="737">
        <f>L40+'Doors order'!N40+'Edge order'!N40+'Cava Doors order'!N40</f>
        <v>0</v>
      </c>
      <c r="M41" s="737"/>
      <c r="N41" s="32"/>
      <c r="O41" s="32"/>
    </row>
    <row r="42" spans="1:15" ht="6.75" customHeight="1" thickBot="1" x14ac:dyDescent="0.35">
      <c r="A42" s="13"/>
      <c r="B42" s="107"/>
      <c r="C42" s="108"/>
      <c r="D42" s="29"/>
      <c r="E42" s="29"/>
      <c r="F42" s="29"/>
      <c r="G42" s="29"/>
      <c r="H42" s="29"/>
      <c r="I42" s="13"/>
      <c r="J42" s="26"/>
      <c r="K42" s="109"/>
      <c r="L42" s="109"/>
      <c r="M42" s="110"/>
      <c r="N42" s="32"/>
      <c r="O42" s="32"/>
    </row>
    <row r="43" spans="1:15" ht="20.100000000000001" customHeight="1" x14ac:dyDescent="0.25">
      <c r="A43" s="746" t="s">
        <v>19</v>
      </c>
      <c r="B43" s="747"/>
      <c r="C43" s="747"/>
      <c r="D43" s="747"/>
      <c r="E43" s="747"/>
      <c r="F43" s="747"/>
      <c r="G43" s="748"/>
      <c r="H43" s="746" t="s">
        <v>20</v>
      </c>
      <c r="I43" s="747"/>
      <c r="J43" s="747"/>
      <c r="K43" s="749"/>
      <c r="L43" s="750" t="s">
        <v>88</v>
      </c>
      <c r="M43" s="751"/>
      <c r="N43" s="32"/>
      <c r="O43" s="32"/>
    </row>
    <row r="44" spans="1:15" ht="20.100000000000001" customHeight="1" x14ac:dyDescent="0.25">
      <c r="A44" s="752"/>
      <c r="B44" s="753"/>
      <c r="C44" s="753"/>
      <c r="D44" s="753"/>
      <c r="E44" s="753"/>
      <c r="F44" s="753"/>
      <c r="G44" s="754"/>
      <c r="H44" s="758" t="s">
        <v>233</v>
      </c>
      <c r="I44" s="759"/>
      <c r="J44" s="759"/>
      <c r="K44" s="760"/>
      <c r="L44" s="100" t="s">
        <v>67</v>
      </c>
      <c r="M44" s="46">
        <v>0</v>
      </c>
      <c r="N44" s="32"/>
      <c r="O44" s="32"/>
    </row>
    <row r="45" spans="1:15" ht="20.100000000000001" customHeight="1" thickBot="1" x14ac:dyDescent="0.3">
      <c r="A45" s="755"/>
      <c r="B45" s="756"/>
      <c r="C45" s="756"/>
      <c r="D45" s="756"/>
      <c r="E45" s="756"/>
      <c r="F45" s="756"/>
      <c r="G45" s="757"/>
      <c r="H45" s="761"/>
      <c r="I45" s="762"/>
      <c r="J45" s="762"/>
      <c r="K45" s="763"/>
      <c r="L45" s="111" t="s">
        <v>227</v>
      </c>
      <c r="M45" s="53">
        <v>0</v>
      </c>
      <c r="N45" s="32"/>
      <c r="O45" s="32"/>
    </row>
    <row r="46" spans="1:15" ht="21.95" customHeight="1" x14ac:dyDescent="0.25">
      <c r="A46" s="603" t="s">
        <v>321</v>
      </c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32"/>
      <c r="O46" s="32"/>
    </row>
    <row r="47" spans="1:15" x14ac:dyDescent="0.25">
      <c r="A47" s="144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 x14ac:dyDescent="0.25">
      <c r="A48" s="145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12"/>
      <c r="N48" s="32"/>
      <c r="O48" s="32"/>
    </row>
    <row r="49" spans="1:256" ht="15.75" x14ac:dyDescent="0.25">
      <c r="A49" s="145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12"/>
      <c r="N49" s="32"/>
      <c r="O49" s="32"/>
    </row>
    <row r="50" spans="1:256" x14ac:dyDescent="0.25">
      <c r="E50"/>
    </row>
    <row r="51" spans="1:256" x14ac:dyDescent="0.25">
      <c r="B51" s="113"/>
      <c r="C51" s="113"/>
      <c r="D51" s="16"/>
      <c r="J51" s="16"/>
    </row>
    <row r="52" spans="1:256" x14ac:dyDescent="0.25">
      <c r="D52" s="22"/>
      <c r="J52" s="16"/>
    </row>
    <row r="53" spans="1:256" x14ac:dyDescent="0.25">
      <c r="J53" s="16"/>
    </row>
    <row r="54" spans="1:256" x14ac:dyDescent="0.25">
      <c r="J54" s="16"/>
    </row>
    <row r="55" spans="1:256" ht="18.75" x14ac:dyDescent="0.3">
      <c r="A55" s="151"/>
      <c r="J55" s="17"/>
      <c r="K55" s="18"/>
      <c r="L55" s="18"/>
      <c r="M55" s="18"/>
    </row>
    <row r="57" spans="1:256" s="152" customFormat="1" x14ac:dyDescent="0.25">
      <c r="A57" s="744"/>
      <c r="B57" s="744"/>
      <c r="C57" s="153"/>
      <c r="D57" s="153"/>
      <c r="E57" s="154"/>
      <c r="F57" s="154"/>
      <c r="G57" s="154"/>
      <c r="H57" s="154"/>
    </row>
    <row r="58" spans="1:256" s="152" customFormat="1" ht="15.75" x14ac:dyDescent="0.25">
      <c r="A58" s="164"/>
      <c r="B58" s="156"/>
      <c r="C58" s="157"/>
      <c r="D58" s="165"/>
      <c r="E58" s="165"/>
      <c r="G58" s="154"/>
    </row>
    <row r="59" spans="1:256" s="152" customFormat="1" ht="15.75" x14ac:dyDescent="0.25">
      <c r="A59" s="164"/>
      <c r="B59" s="156"/>
      <c r="C59" s="157"/>
      <c r="D59" s="165"/>
      <c r="E59" s="165"/>
      <c r="G59" s="154"/>
    </row>
    <row r="60" spans="1:256" s="152" customFormat="1" ht="15.75" x14ac:dyDescent="0.25">
      <c r="A60" s="164"/>
      <c r="B60" s="156"/>
      <c r="D60" s="165"/>
      <c r="E60" s="165"/>
      <c r="G60" s="154"/>
    </row>
    <row r="61" spans="1:256" s="152" customFormat="1" ht="15.75" x14ac:dyDescent="0.25">
      <c r="A61" s="164"/>
      <c r="B61" s="156"/>
      <c r="D61" s="165"/>
      <c r="E61" s="154"/>
      <c r="G61" s="154"/>
    </row>
    <row r="62" spans="1:256" s="152" customFormat="1" ht="15.75" x14ac:dyDescent="0.25">
      <c r="A62" s="164"/>
      <c r="B62" s="156"/>
      <c r="D62" s="165"/>
    </row>
    <row r="63" spans="1:256" s="152" customFormat="1" ht="15.75" x14ac:dyDescent="0.25">
      <c r="A63" s="164"/>
      <c r="B63" s="156"/>
      <c r="D63" s="165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52" customFormat="1" ht="15.75" x14ac:dyDescent="0.25">
      <c r="A64" s="164"/>
      <c r="B64" s="156"/>
      <c r="D64" s="165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52" customFormat="1" ht="15.75" x14ac:dyDescent="0.25">
      <c r="A65" s="164"/>
      <c r="B65" s="156"/>
      <c r="D65" s="1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52" customFormat="1" ht="15.75" x14ac:dyDescent="0.25">
      <c r="A66" s="164"/>
      <c r="B66" s="156"/>
      <c r="D66" s="165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52" customFormat="1" ht="15.75" x14ac:dyDescent="0.25">
      <c r="A67" s="164"/>
      <c r="B67" s="156"/>
      <c r="D67" s="165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52" customFormat="1" ht="15.75" x14ac:dyDescent="0.25">
      <c r="A68" s="164"/>
      <c r="B68" s="156"/>
      <c r="D68" s="16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52" customFormat="1" ht="15.75" x14ac:dyDescent="0.25">
      <c r="A69" s="164"/>
      <c r="B69" s="156"/>
      <c r="D69" s="165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52" customFormat="1" ht="15.75" x14ac:dyDescent="0.25">
      <c r="A70" s="164"/>
      <c r="B70" s="156"/>
      <c r="D70" s="165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52" customFormat="1" ht="15.75" x14ac:dyDescent="0.25">
      <c r="A71" s="164"/>
      <c r="B71" s="156"/>
      <c r="D71" s="165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52" customFormat="1" ht="15.75" x14ac:dyDescent="0.25">
      <c r="A72" s="164"/>
      <c r="B72" s="156"/>
      <c r="D72" s="165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52" customFormat="1" ht="15.75" x14ac:dyDescent="0.25">
      <c r="A73" s="164"/>
      <c r="B73" s="156"/>
      <c r="D73" s="165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52" customFormat="1" ht="15.75" x14ac:dyDescent="0.25">
      <c r="A74" s="164"/>
      <c r="B74" s="156"/>
      <c r="D74" s="165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52" customFormat="1" ht="15.75" x14ac:dyDescent="0.25">
      <c r="A75" s="164"/>
      <c r="B75" s="156"/>
      <c r="D75" s="16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52" customFormat="1" ht="15.75" x14ac:dyDescent="0.25">
      <c r="A76" s="164"/>
      <c r="B76" s="156"/>
      <c r="D76" s="16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52" customFormat="1" ht="15.75" x14ac:dyDescent="0.25">
      <c r="A77" s="164"/>
      <c r="B77" s="156"/>
      <c r="D77" s="16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52" customFormat="1" ht="15.75" x14ac:dyDescent="0.25">
      <c r="A78" s="164"/>
      <c r="B78" s="156"/>
      <c r="D78" s="16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52" customFormat="1" ht="15.75" x14ac:dyDescent="0.25">
      <c r="A79" s="166"/>
      <c r="B79" s="156"/>
      <c r="D79" s="165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52" customFormat="1" ht="15.75" x14ac:dyDescent="0.25">
      <c r="A80" s="166"/>
      <c r="B80" s="156"/>
      <c r="D80" s="165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52" customFormat="1" ht="15.75" x14ac:dyDescent="0.25">
      <c r="A81" s="156"/>
      <c r="B81" s="156"/>
      <c r="D81" s="16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52" customFormat="1" ht="15.75" x14ac:dyDescent="0.25">
      <c r="A82" s="156"/>
      <c r="B82" s="164"/>
      <c r="D82" s="165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52" customFormat="1" ht="15.75" x14ac:dyDescent="0.25">
      <c r="A83" s="156"/>
      <c r="B83" s="164"/>
      <c r="D83" s="16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52" customFormat="1" ht="15.75" x14ac:dyDescent="0.25">
      <c r="A84" s="156"/>
      <c r="B84" s="164"/>
      <c r="D84" s="16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52" customFormat="1" ht="15.75" x14ac:dyDescent="0.25">
      <c r="A85" s="166"/>
      <c r="B85" s="164"/>
      <c r="D85" s="16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52" customFormat="1" ht="15.75" x14ac:dyDescent="0.25">
      <c r="A86" s="166"/>
      <c r="B86" s="164"/>
      <c r="D86" s="165"/>
    </row>
    <row r="87" spans="1:256" s="152" customFormat="1" ht="15.75" x14ac:dyDescent="0.25">
      <c r="A87" s="166"/>
      <c r="B87" s="164"/>
      <c r="D87" s="165"/>
    </row>
    <row r="88" spans="1:256" s="152" customFormat="1" ht="15.75" x14ac:dyDescent="0.25">
      <c r="A88" s="166"/>
      <c r="B88" s="164"/>
      <c r="D88" s="165"/>
    </row>
    <row r="89" spans="1:256" s="152" customFormat="1" ht="15.75" x14ac:dyDescent="0.25">
      <c r="A89" s="166"/>
      <c r="B89" s="164"/>
      <c r="D89" s="165"/>
    </row>
    <row r="90" spans="1:256" s="152" customFormat="1" ht="15.75" x14ac:dyDescent="0.25">
      <c r="A90" s="166"/>
      <c r="B90" s="160"/>
      <c r="D90" s="165"/>
    </row>
    <row r="91" spans="1:256" s="152" customFormat="1" ht="15.75" x14ac:dyDescent="0.25">
      <c r="A91" s="166"/>
      <c r="B91" s="166"/>
      <c r="D91" s="165"/>
    </row>
    <row r="92" spans="1:256" s="152" customFormat="1" ht="15.75" x14ac:dyDescent="0.25">
      <c r="A92" s="166"/>
      <c r="B92" s="166"/>
      <c r="D92" s="165"/>
    </row>
    <row r="93" spans="1:256" s="152" customFormat="1" ht="15.75" x14ac:dyDescent="0.25">
      <c r="A93" s="166"/>
      <c r="B93" s="166"/>
      <c r="D93" s="165"/>
    </row>
    <row r="94" spans="1:256" s="152" customFormat="1" ht="15.75" x14ac:dyDescent="0.25">
      <c r="A94" s="166"/>
      <c r="B94" s="166"/>
      <c r="D94" s="165"/>
    </row>
    <row r="95" spans="1:256" s="152" customFormat="1" ht="15.75" x14ac:dyDescent="0.25">
      <c r="D95" s="165"/>
    </row>
    <row r="96" spans="1:256" s="152" customFormat="1" ht="15.75" x14ac:dyDescent="0.25">
      <c r="D96" s="165"/>
    </row>
    <row r="97" spans="1:4" s="152" customFormat="1" ht="15.75" x14ac:dyDescent="0.25">
      <c r="A97" s="161"/>
      <c r="D97" s="165"/>
    </row>
    <row r="98" spans="1:4" s="152" customFormat="1" ht="15.75" x14ac:dyDescent="0.25">
      <c r="A98" s="161"/>
      <c r="D98" s="165"/>
    </row>
    <row r="99" spans="1:4" s="152" customFormat="1" ht="15.75" x14ac:dyDescent="0.25">
      <c r="A99" s="161"/>
      <c r="D99" s="165"/>
    </row>
    <row r="100" spans="1:4" s="152" customFormat="1" ht="15.75" x14ac:dyDescent="0.25">
      <c r="A100" s="161"/>
      <c r="D100" s="165"/>
    </row>
    <row r="101" spans="1:4" s="152" customFormat="1" ht="15.75" x14ac:dyDescent="0.25">
      <c r="A101" s="161"/>
      <c r="D101" s="165"/>
    </row>
    <row r="102" spans="1:4" s="152" customFormat="1" ht="15.75" x14ac:dyDescent="0.25">
      <c r="A102" s="161"/>
      <c r="D102" s="165"/>
    </row>
    <row r="103" spans="1:4" s="152" customFormat="1" ht="15.75" x14ac:dyDescent="0.25">
      <c r="A103" s="161"/>
      <c r="D103" s="165"/>
    </row>
    <row r="104" spans="1:4" s="152" customFormat="1" ht="15.75" x14ac:dyDescent="0.25">
      <c r="A104" s="161"/>
      <c r="D104" s="165"/>
    </row>
    <row r="105" spans="1:4" s="152" customFormat="1" ht="15.75" x14ac:dyDescent="0.25">
      <c r="A105" s="161"/>
      <c r="D105" s="165"/>
    </row>
    <row r="106" spans="1:4" s="152" customFormat="1" ht="15.75" x14ac:dyDescent="0.25">
      <c r="A106" s="161"/>
      <c r="C106" s="157"/>
      <c r="D106" s="165"/>
    </row>
    <row r="107" spans="1:4" s="152" customFormat="1" ht="15.75" x14ac:dyDescent="0.25">
      <c r="A107" s="161"/>
      <c r="C107" s="157"/>
      <c r="D107" s="165"/>
    </row>
    <row r="108" spans="1:4" s="152" customFormat="1" ht="15.75" x14ac:dyDescent="0.25">
      <c r="A108" s="161"/>
      <c r="C108" s="157"/>
      <c r="D108" s="165"/>
    </row>
    <row r="109" spans="1:4" s="152" customFormat="1" ht="15.75" x14ac:dyDescent="0.25">
      <c r="A109" s="161"/>
      <c r="C109" s="157"/>
      <c r="D109" s="165"/>
    </row>
    <row r="110" spans="1:4" s="152" customFormat="1" ht="15.75" x14ac:dyDescent="0.25">
      <c r="A110" s="161"/>
      <c r="C110" s="157"/>
      <c r="D110" s="165"/>
    </row>
    <row r="111" spans="1:4" s="152" customFormat="1" ht="15.75" x14ac:dyDescent="0.25">
      <c r="A111" s="161"/>
      <c r="C111" s="157"/>
      <c r="D111" s="165"/>
    </row>
    <row r="112" spans="1:4" s="152" customFormat="1" ht="15.75" x14ac:dyDescent="0.25">
      <c r="A112" s="161"/>
      <c r="C112" s="157"/>
      <c r="D112" s="165"/>
    </row>
    <row r="113" spans="1:4" s="152" customFormat="1" ht="15.75" x14ac:dyDescent="0.25">
      <c r="A113" s="161"/>
      <c r="C113" s="157"/>
      <c r="D113" s="165"/>
    </row>
    <row r="114" spans="1:4" s="152" customFormat="1" ht="15.75" x14ac:dyDescent="0.25">
      <c r="A114" s="161"/>
      <c r="C114" s="157"/>
      <c r="D114" s="165"/>
    </row>
    <row r="115" spans="1:4" s="152" customFormat="1" ht="15.75" x14ac:dyDescent="0.25">
      <c r="A115" s="161"/>
      <c r="C115" s="157"/>
      <c r="D115" s="165"/>
    </row>
    <row r="116" spans="1:4" s="152" customFormat="1" ht="15.75" x14ac:dyDescent="0.25">
      <c r="A116" s="161"/>
      <c r="C116" s="157"/>
      <c r="D116" s="165"/>
    </row>
    <row r="117" spans="1:4" s="152" customFormat="1" ht="15.75" x14ac:dyDescent="0.25">
      <c r="A117" s="161"/>
      <c r="C117" s="157"/>
      <c r="D117" s="165"/>
    </row>
    <row r="118" spans="1:4" s="152" customFormat="1" ht="15.75" x14ac:dyDescent="0.25">
      <c r="A118" s="161"/>
      <c r="C118" s="157"/>
      <c r="D118" s="165"/>
    </row>
    <row r="119" spans="1:4" s="152" customFormat="1" ht="15.75" x14ac:dyDescent="0.25">
      <c r="A119" s="161"/>
      <c r="C119" s="157"/>
      <c r="D119" s="165"/>
    </row>
    <row r="120" spans="1:4" s="152" customFormat="1" ht="15.75" x14ac:dyDescent="0.25">
      <c r="A120" s="161"/>
      <c r="C120" s="157"/>
      <c r="D120" s="165"/>
    </row>
    <row r="121" spans="1:4" s="152" customFormat="1" ht="15.75" x14ac:dyDescent="0.25">
      <c r="A121" s="161"/>
      <c r="C121" s="157"/>
      <c r="D121" s="165"/>
    </row>
    <row r="122" spans="1:4" s="152" customFormat="1" ht="15.75" x14ac:dyDescent="0.25">
      <c r="A122" s="161"/>
      <c r="C122" s="157"/>
      <c r="D122" s="165"/>
    </row>
    <row r="123" spans="1:4" s="152" customFormat="1" ht="15.75" x14ac:dyDescent="0.25">
      <c r="A123" s="161"/>
      <c r="C123" s="157"/>
      <c r="D123" s="165"/>
    </row>
    <row r="124" spans="1:4" s="152" customFormat="1" ht="15.75" x14ac:dyDescent="0.25">
      <c r="A124" s="161"/>
      <c r="C124" s="157"/>
      <c r="D124" s="165"/>
    </row>
    <row r="125" spans="1:4" s="152" customFormat="1" ht="15.75" x14ac:dyDescent="0.25">
      <c r="A125" s="161"/>
      <c r="C125" s="157"/>
      <c r="D125" s="165"/>
    </row>
    <row r="126" spans="1:4" s="152" customFormat="1" ht="15.75" x14ac:dyDescent="0.25">
      <c r="A126" s="161"/>
      <c r="C126" s="157"/>
      <c r="D126" s="165"/>
    </row>
    <row r="127" spans="1:4" s="152" customFormat="1" ht="15.75" x14ac:dyDescent="0.25">
      <c r="A127" s="161"/>
      <c r="C127" s="157"/>
      <c r="D127" s="165"/>
    </row>
    <row r="128" spans="1:4" s="152" customFormat="1" ht="15.75" x14ac:dyDescent="0.25">
      <c r="A128" s="161"/>
      <c r="C128" s="157"/>
      <c r="D128" s="165"/>
    </row>
    <row r="129" spans="1:5" s="152" customFormat="1" ht="15.75" x14ac:dyDescent="0.25">
      <c r="A129" s="161"/>
      <c r="C129" s="157"/>
      <c r="D129" s="165"/>
    </row>
    <row r="130" spans="1:5" s="152" customFormat="1" ht="15.75" x14ac:dyDescent="0.25">
      <c r="D130" s="165"/>
    </row>
    <row r="131" spans="1:5" s="152" customFormat="1" ht="15.75" x14ac:dyDescent="0.25">
      <c r="D131" s="165"/>
    </row>
    <row r="132" spans="1:5" ht="15.75" x14ac:dyDescent="0.25">
      <c r="D132" s="167"/>
      <c r="E132" s="168"/>
    </row>
    <row r="133" spans="1:5" ht="15.75" x14ac:dyDescent="0.25">
      <c r="D133" s="167"/>
      <c r="E133" s="164"/>
    </row>
    <row r="134" spans="1:5" ht="15.75" x14ac:dyDescent="0.25">
      <c r="D134" s="167"/>
      <c r="E134" s="164"/>
    </row>
    <row r="135" spans="1:5" ht="15.75" x14ac:dyDescent="0.25">
      <c r="D135" s="167"/>
      <c r="E135" s="164"/>
    </row>
    <row r="136" spans="1:5" ht="15.75" x14ac:dyDescent="0.25">
      <c r="D136" s="167"/>
      <c r="E136" s="164"/>
    </row>
    <row r="137" spans="1:5" ht="15.75" x14ac:dyDescent="0.25">
      <c r="D137" s="167"/>
      <c r="E137" s="164"/>
    </row>
    <row r="138" spans="1:5" ht="15.75" x14ac:dyDescent="0.25">
      <c r="D138" s="167"/>
      <c r="E138" s="164"/>
    </row>
    <row r="139" spans="1:5" x14ac:dyDescent="0.25">
      <c r="D139" s="22"/>
      <c r="E139"/>
    </row>
    <row r="140" spans="1:5" x14ac:dyDescent="0.25">
      <c r="D140" s="22"/>
      <c r="E140"/>
    </row>
    <row r="141" spans="1:5" x14ac:dyDescent="0.25">
      <c r="D141" s="22"/>
      <c r="E141"/>
    </row>
    <row r="142" spans="1:5" x14ac:dyDescent="0.25">
      <c r="D142" s="22"/>
      <c r="E142"/>
    </row>
    <row r="143" spans="1:5" x14ac:dyDescent="0.25">
      <c r="D143" s="22"/>
      <c r="E143"/>
    </row>
    <row r="144" spans="1:5" x14ac:dyDescent="0.25">
      <c r="D144" s="22"/>
      <c r="E144"/>
    </row>
    <row r="145" spans="2:11" x14ac:dyDescent="0.25">
      <c r="D145" s="22"/>
      <c r="E145"/>
    </row>
    <row r="146" spans="2:11" x14ac:dyDescent="0.25">
      <c r="D146" s="22"/>
      <c r="E146"/>
    </row>
    <row r="147" spans="2:11" x14ac:dyDescent="0.25">
      <c r="D147" s="22"/>
      <c r="E147"/>
    </row>
    <row r="148" spans="2:11" x14ac:dyDescent="0.25">
      <c r="D148" s="22"/>
      <c r="E148"/>
    </row>
    <row r="151" spans="2:11" x14ac:dyDescent="0.25">
      <c r="E151"/>
    </row>
    <row r="152" spans="2:11" x14ac:dyDescent="0.25">
      <c r="C152" s="745"/>
      <c r="D152" s="745"/>
      <c r="E152" s="745"/>
      <c r="F152" s="745"/>
      <c r="G152" s="745"/>
      <c r="H152" s="745"/>
    </row>
    <row r="153" spans="2:11" x14ac:dyDescent="0.25">
      <c r="B153" s="169"/>
      <c r="C153" s="169"/>
      <c r="D153" s="169"/>
      <c r="E153" s="169"/>
      <c r="F153" s="169"/>
      <c r="G153" s="169"/>
      <c r="H153" s="152"/>
      <c r="I153" s="169"/>
      <c r="J153" s="169"/>
      <c r="K153" s="152"/>
    </row>
    <row r="154" spans="2:11" x14ac:dyDescent="0.25">
      <c r="B154" s="22"/>
      <c r="C154" s="152"/>
      <c r="D154" s="152"/>
      <c r="E154" s="11"/>
      <c r="F154" s="15"/>
      <c r="G154" s="152"/>
      <c r="H154" s="152"/>
      <c r="I154" s="152"/>
      <c r="J154" s="152"/>
      <c r="K154" s="152"/>
    </row>
    <row r="155" spans="2:11" x14ac:dyDescent="0.25">
      <c r="B155" s="22"/>
      <c r="C155" s="152"/>
      <c r="D155" s="152"/>
      <c r="E155" s="11"/>
      <c r="F155" s="15"/>
      <c r="G155" s="152"/>
      <c r="H155" s="152"/>
      <c r="I155" s="152"/>
      <c r="J155" s="152"/>
      <c r="K155" s="152"/>
    </row>
    <row r="156" spans="2:11" x14ac:dyDescent="0.25">
      <c r="B156" s="22"/>
      <c r="C156" s="152"/>
      <c r="D156" s="152"/>
      <c r="E156" s="11"/>
      <c r="F156" s="15"/>
      <c r="G156" s="152"/>
      <c r="H156" s="152"/>
      <c r="I156" s="152"/>
      <c r="J156" s="152"/>
      <c r="K156" s="152"/>
    </row>
    <row r="157" spans="2:11" x14ac:dyDescent="0.25">
      <c r="B157" s="22"/>
      <c r="C157" s="152"/>
      <c r="D157" s="152"/>
      <c r="E157" s="11"/>
      <c r="F157" s="15"/>
      <c r="G157" s="152"/>
      <c r="H157" s="152"/>
      <c r="I157" s="152"/>
      <c r="J157" s="152"/>
      <c r="K157" s="152"/>
    </row>
    <row r="158" spans="2:11" x14ac:dyDescent="0.25">
      <c r="B158" s="22"/>
      <c r="C158" s="152"/>
      <c r="D158" s="152"/>
      <c r="E158" s="11"/>
      <c r="F158" s="15"/>
      <c r="G158" s="152"/>
      <c r="H158" s="152"/>
      <c r="I158" s="152"/>
      <c r="J158" s="152"/>
      <c r="K158" s="152"/>
    </row>
    <row r="159" spans="2:11" x14ac:dyDescent="0.25">
      <c r="B159" s="22"/>
      <c r="C159" s="152"/>
      <c r="D159" s="152"/>
      <c r="E159" s="11"/>
      <c r="F159" s="15"/>
      <c r="G159" s="152"/>
      <c r="H159" s="152"/>
      <c r="I159" s="152"/>
      <c r="J159" s="152"/>
      <c r="K159" s="152"/>
    </row>
    <row r="160" spans="2:11" x14ac:dyDescent="0.25">
      <c r="B160" s="22"/>
      <c r="C160" s="152"/>
      <c r="D160" s="152"/>
      <c r="E160" s="11"/>
      <c r="F160" s="15"/>
      <c r="G160" s="152"/>
      <c r="H160" s="152"/>
      <c r="I160" s="152"/>
      <c r="J160" s="152"/>
      <c r="K160" s="152"/>
    </row>
    <row r="161" spans="2:11" x14ac:dyDescent="0.25">
      <c r="B161" s="22"/>
      <c r="C161" s="152"/>
      <c r="D161" s="152"/>
      <c r="E161" s="11"/>
      <c r="F161" s="15"/>
      <c r="G161" s="152"/>
      <c r="H161" s="152"/>
      <c r="I161" s="152"/>
      <c r="J161" s="152"/>
      <c r="K161" s="152"/>
    </row>
    <row r="162" spans="2:11" x14ac:dyDescent="0.25">
      <c r="B162" s="22"/>
      <c r="C162" s="152"/>
      <c r="D162" s="152"/>
      <c r="E162" s="11"/>
      <c r="F162" s="15"/>
      <c r="G162" s="152"/>
      <c r="H162" s="152"/>
      <c r="I162" s="152"/>
      <c r="J162" s="152"/>
      <c r="K162" s="152"/>
    </row>
    <row r="163" spans="2:11" x14ac:dyDescent="0.25">
      <c r="B163" s="22"/>
      <c r="C163" s="152"/>
      <c r="D163" s="152"/>
      <c r="E163" s="11"/>
      <c r="F163" s="15"/>
      <c r="G163" s="152"/>
      <c r="H163" s="152"/>
      <c r="I163" s="152"/>
      <c r="J163" s="152"/>
      <c r="K163" s="152"/>
    </row>
    <row r="164" spans="2:11" x14ac:dyDescent="0.25">
      <c r="B164" s="22"/>
      <c r="C164" s="152"/>
      <c r="D164" s="152"/>
      <c r="E164" s="11"/>
      <c r="F164" s="15"/>
      <c r="G164" s="152"/>
      <c r="H164" s="152"/>
      <c r="I164" s="152"/>
      <c r="J164" s="152"/>
      <c r="K164" s="152"/>
    </row>
    <row r="165" spans="2:11" x14ac:dyDescent="0.25">
      <c r="B165" s="22"/>
      <c r="C165" s="152"/>
      <c r="D165" s="152"/>
      <c r="E165" s="11"/>
      <c r="F165" s="15"/>
      <c r="G165" s="152"/>
      <c r="H165" s="152"/>
      <c r="I165" s="152"/>
      <c r="J165" s="152"/>
      <c r="K165" s="152"/>
    </row>
    <row r="166" spans="2:11" x14ac:dyDescent="0.25">
      <c r="B166" s="22"/>
      <c r="C166" s="152"/>
      <c r="D166" s="152"/>
      <c r="E166" s="11"/>
      <c r="F166" s="15"/>
      <c r="G166" s="152"/>
      <c r="H166" s="152"/>
      <c r="I166" s="152"/>
      <c r="J166" s="152"/>
      <c r="K166" s="152"/>
    </row>
    <row r="167" spans="2:11" x14ac:dyDescent="0.25">
      <c r="B167" s="22"/>
      <c r="C167" s="152"/>
      <c r="D167" s="152"/>
      <c r="E167" s="11"/>
      <c r="F167" s="15"/>
      <c r="G167" s="152"/>
      <c r="H167" s="152"/>
      <c r="I167" s="152"/>
      <c r="J167" s="152"/>
      <c r="K167" s="152"/>
    </row>
    <row r="168" spans="2:11" x14ac:dyDescent="0.25">
      <c r="B168" s="22"/>
      <c r="C168" s="152"/>
      <c r="D168" s="152"/>
      <c r="E168" s="11"/>
      <c r="F168" s="15"/>
      <c r="G168" s="152"/>
      <c r="H168" s="152"/>
      <c r="I168" s="152"/>
      <c r="J168" s="152"/>
      <c r="K168" s="152"/>
    </row>
    <row r="169" spans="2:11" x14ac:dyDescent="0.25">
      <c r="B169" s="22"/>
      <c r="C169" s="152"/>
      <c r="D169" s="152"/>
      <c r="E169" s="11"/>
      <c r="F169" s="15"/>
      <c r="G169" s="152"/>
      <c r="H169" s="152"/>
      <c r="I169" s="152"/>
      <c r="J169" s="152"/>
      <c r="K169" s="152"/>
    </row>
    <row r="170" spans="2:11" x14ac:dyDescent="0.25">
      <c r="B170" s="22"/>
      <c r="C170" s="152"/>
      <c r="D170" s="152"/>
      <c r="E170" s="11"/>
      <c r="F170" s="15"/>
      <c r="G170" s="152"/>
      <c r="H170" s="152"/>
      <c r="I170" s="152"/>
      <c r="J170" s="152"/>
      <c r="K170" s="152"/>
    </row>
    <row r="171" spans="2:11" x14ac:dyDescent="0.25">
      <c r="B171" s="22"/>
      <c r="C171" s="152"/>
      <c r="D171" s="152"/>
      <c r="E171" s="11"/>
      <c r="F171" s="15"/>
      <c r="G171" s="152"/>
      <c r="H171" s="152"/>
      <c r="I171" s="152"/>
      <c r="J171" s="152"/>
      <c r="K171" s="152"/>
    </row>
    <row r="172" spans="2:11" x14ac:dyDescent="0.25">
      <c r="B172" s="22"/>
      <c r="C172" s="152"/>
      <c r="D172" s="152"/>
      <c r="E172" s="11"/>
      <c r="F172" s="15"/>
      <c r="G172" s="152"/>
      <c r="H172" s="152"/>
      <c r="I172" s="152"/>
      <c r="J172" s="152"/>
      <c r="K172" s="152"/>
    </row>
    <row r="173" spans="2:11" x14ac:dyDescent="0.25">
      <c r="B173" s="22"/>
      <c r="C173" s="152"/>
      <c r="D173" s="152"/>
      <c r="E173" s="11"/>
      <c r="F173" s="15"/>
      <c r="G173" s="152"/>
      <c r="H173" s="152"/>
      <c r="I173" s="152"/>
      <c r="J173" s="152"/>
      <c r="K173" s="152"/>
    </row>
    <row r="174" spans="2:11" x14ac:dyDescent="0.25">
      <c r="B174" s="22"/>
      <c r="C174" s="152"/>
      <c r="D174" s="152"/>
      <c r="E174" s="11"/>
      <c r="F174" s="15"/>
      <c r="G174" s="152"/>
      <c r="H174" s="152"/>
      <c r="I174" s="152"/>
      <c r="J174" s="152"/>
      <c r="K174" s="152"/>
    </row>
    <row r="175" spans="2:11" x14ac:dyDescent="0.25">
      <c r="B175" s="22"/>
      <c r="C175" s="152"/>
      <c r="D175" s="152"/>
      <c r="E175" s="11"/>
      <c r="F175" s="15"/>
      <c r="G175" s="152"/>
      <c r="H175" s="152"/>
      <c r="I175" s="152"/>
      <c r="J175" s="152"/>
      <c r="K175" s="152"/>
    </row>
    <row r="176" spans="2:11" x14ac:dyDescent="0.25">
      <c r="B176" s="22"/>
      <c r="C176" s="152"/>
      <c r="D176" s="152"/>
      <c r="E176" s="11"/>
      <c r="F176" s="15"/>
      <c r="G176" s="152"/>
      <c r="H176" s="152"/>
      <c r="I176" s="152"/>
      <c r="J176" s="152"/>
      <c r="K176" s="152"/>
    </row>
    <row r="177" spans="2:11" x14ac:dyDescent="0.25">
      <c r="B177" s="22"/>
      <c r="C177" s="152"/>
      <c r="D177" s="152"/>
      <c r="E177" s="11"/>
      <c r="F177" s="15"/>
      <c r="G177" s="152"/>
      <c r="H177" s="152"/>
      <c r="I177" s="152"/>
      <c r="J177" s="152"/>
      <c r="K177" s="152"/>
    </row>
    <row r="178" spans="2:11" x14ac:dyDescent="0.25">
      <c r="B178" s="22"/>
      <c r="C178" s="152"/>
      <c r="D178" s="152"/>
      <c r="E178" s="11"/>
      <c r="F178" s="15"/>
      <c r="G178" s="152"/>
      <c r="H178" s="152"/>
      <c r="I178" s="152"/>
      <c r="J178" s="152"/>
      <c r="K178" s="152"/>
    </row>
    <row r="179" spans="2:11" x14ac:dyDescent="0.25">
      <c r="B179" s="22"/>
      <c r="C179" s="152"/>
      <c r="D179" s="152"/>
      <c r="E179" s="11"/>
      <c r="F179" s="15"/>
      <c r="G179" s="152"/>
      <c r="H179" s="152"/>
      <c r="I179" s="152"/>
      <c r="J179" s="152"/>
      <c r="K179" s="152"/>
    </row>
    <row r="180" spans="2:11" x14ac:dyDescent="0.25">
      <c r="B180" s="22"/>
      <c r="C180" s="152"/>
      <c r="D180" s="152"/>
      <c r="E180" s="11"/>
      <c r="F180" s="15"/>
      <c r="G180" s="152"/>
      <c r="H180" s="152"/>
      <c r="I180" s="152"/>
      <c r="J180" s="152"/>
      <c r="K180" s="152"/>
    </row>
    <row r="181" spans="2:11" x14ac:dyDescent="0.25">
      <c r="B181" s="22"/>
      <c r="C181" s="152"/>
      <c r="D181" s="152"/>
      <c r="E181" s="11"/>
      <c r="F181" s="15"/>
      <c r="G181" s="152"/>
      <c r="H181" s="152"/>
      <c r="I181" s="152"/>
      <c r="J181" s="152"/>
      <c r="K181" s="152"/>
    </row>
    <row r="182" spans="2:11" x14ac:dyDescent="0.25">
      <c r="B182" s="22"/>
      <c r="C182" s="152"/>
      <c r="D182" s="152"/>
      <c r="E182" s="11"/>
      <c r="F182" s="15"/>
      <c r="G182" s="152"/>
      <c r="H182" s="152"/>
      <c r="I182" s="152"/>
      <c r="J182" s="152"/>
      <c r="K182" s="152"/>
    </row>
    <row r="183" spans="2:11" x14ac:dyDescent="0.25">
      <c r="B183" s="22"/>
      <c r="C183" s="152"/>
      <c r="D183" s="152"/>
      <c r="E183" s="11"/>
      <c r="F183" s="15"/>
      <c r="G183" s="152"/>
      <c r="H183" s="152"/>
      <c r="I183" s="152"/>
      <c r="J183" s="152"/>
      <c r="K183" s="152"/>
    </row>
    <row r="184" spans="2:11" x14ac:dyDescent="0.25">
      <c r="B184" s="22"/>
      <c r="C184" s="152"/>
      <c r="D184" s="152"/>
      <c r="E184" s="11"/>
      <c r="F184" s="15"/>
      <c r="G184" s="152"/>
      <c r="H184" s="152"/>
      <c r="I184" s="152"/>
      <c r="J184" s="152"/>
      <c r="K184" s="152"/>
    </row>
    <row r="185" spans="2:11" x14ac:dyDescent="0.25">
      <c r="B185" s="22"/>
      <c r="C185" s="152"/>
      <c r="D185" s="152"/>
      <c r="E185" s="11"/>
      <c r="F185" s="15"/>
      <c r="G185" s="152"/>
      <c r="H185" s="152"/>
      <c r="I185" s="152"/>
      <c r="J185" s="152"/>
      <c r="K185" s="152"/>
    </row>
    <row r="186" spans="2:11" x14ac:dyDescent="0.25">
      <c r="B186" s="22"/>
      <c r="C186" s="152"/>
      <c r="D186" s="152"/>
      <c r="E186" s="11"/>
      <c r="F186" s="15"/>
      <c r="G186" s="152"/>
      <c r="H186" s="152"/>
      <c r="I186" s="152"/>
      <c r="J186" s="152"/>
      <c r="K186" s="152"/>
    </row>
    <row r="187" spans="2:11" x14ac:dyDescent="0.25">
      <c r="B187" s="22"/>
      <c r="C187" s="152"/>
      <c r="D187" s="152"/>
      <c r="E187" s="11"/>
      <c r="F187" s="15"/>
      <c r="G187" s="152"/>
      <c r="H187" s="152"/>
      <c r="I187" s="152"/>
      <c r="J187" s="152"/>
      <c r="K187" s="152"/>
    </row>
    <row r="188" spans="2:11" x14ac:dyDescent="0.25">
      <c r="B188" s="22"/>
      <c r="C188" s="152"/>
      <c r="D188" s="152"/>
      <c r="E188" s="11"/>
      <c r="F188" s="15"/>
      <c r="G188" s="152"/>
      <c r="H188" s="152"/>
      <c r="I188" s="152"/>
      <c r="J188" s="152"/>
      <c r="K188" s="152"/>
    </row>
    <row r="189" spans="2:11" x14ac:dyDescent="0.25">
      <c r="B189" s="22"/>
      <c r="C189" s="152"/>
      <c r="D189" s="152"/>
      <c r="E189" s="11"/>
      <c r="F189" s="15"/>
      <c r="G189" s="152"/>
      <c r="H189" s="152"/>
      <c r="I189" s="152"/>
      <c r="J189" s="152"/>
      <c r="K189" s="152"/>
    </row>
    <row r="190" spans="2:11" x14ac:dyDescent="0.25">
      <c r="B190" s="22"/>
      <c r="C190" s="152"/>
      <c r="D190" s="152"/>
      <c r="E190" s="11"/>
      <c r="F190" s="15"/>
      <c r="G190" s="152"/>
      <c r="H190" s="152"/>
      <c r="I190" s="152"/>
      <c r="J190" s="152"/>
      <c r="K190" s="152"/>
    </row>
    <row r="191" spans="2:11" x14ac:dyDescent="0.25">
      <c r="B191" s="22"/>
      <c r="C191" s="152"/>
      <c r="D191" s="152"/>
      <c r="E191" s="11"/>
      <c r="F191" s="15"/>
      <c r="G191" s="152"/>
      <c r="H191" s="152"/>
      <c r="I191" s="152"/>
      <c r="J191" s="152"/>
      <c r="K191" s="152"/>
    </row>
    <row r="192" spans="2:11" x14ac:dyDescent="0.25">
      <c r="B192" s="22"/>
      <c r="C192" s="152"/>
      <c r="D192" s="152"/>
      <c r="E192" s="11"/>
      <c r="F192" s="15"/>
      <c r="G192" s="152"/>
      <c r="H192" s="152"/>
      <c r="I192" s="152"/>
      <c r="J192" s="152"/>
      <c r="K192" s="152"/>
    </row>
    <row r="193" spans="2:11" x14ac:dyDescent="0.25">
      <c r="B193" s="22"/>
      <c r="C193" s="152"/>
      <c r="D193" s="152"/>
      <c r="E193" s="11"/>
      <c r="F193" s="15"/>
      <c r="G193" s="152"/>
      <c r="H193" s="152"/>
      <c r="I193" s="152"/>
      <c r="J193" s="152"/>
      <c r="K193" s="152"/>
    </row>
    <row r="194" spans="2:11" x14ac:dyDescent="0.25">
      <c r="B194" s="22"/>
      <c r="C194" s="152"/>
      <c r="D194" s="152"/>
      <c r="E194" s="11"/>
      <c r="F194" s="15"/>
      <c r="G194" s="152"/>
      <c r="H194" s="152"/>
      <c r="I194" s="152"/>
      <c r="J194" s="152"/>
      <c r="K194" s="152"/>
    </row>
    <row r="195" spans="2:11" x14ac:dyDescent="0.25">
      <c r="B195" s="22"/>
      <c r="C195" s="152"/>
      <c r="D195" s="152"/>
      <c r="E195" s="11"/>
      <c r="F195" s="15"/>
      <c r="G195" s="152"/>
      <c r="H195" s="152"/>
      <c r="I195" s="152"/>
      <c r="J195" s="152"/>
      <c r="K195" s="152"/>
    </row>
    <row r="196" spans="2:11" x14ac:dyDescent="0.25">
      <c r="B196" s="22"/>
      <c r="C196" s="152"/>
      <c r="D196" s="152"/>
      <c r="E196" s="11"/>
      <c r="F196" s="15"/>
      <c r="G196" s="152"/>
      <c r="H196" s="152"/>
      <c r="I196" s="152"/>
      <c r="J196" s="152"/>
      <c r="K196" s="152"/>
    </row>
    <row r="197" spans="2:11" x14ac:dyDescent="0.25">
      <c r="B197" s="22"/>
      <c r="C197" s="152"/>
      <c r="D197" s="152"/>
      <c r="E197" s="11"/>
      <c r="F197" s="15"/>
      <c r="G197" s="152"/>
      <c r="H197" s="152"/>
      <c r="I197" s="152"/>
      <c r="J197" s="152"/>
      <c r="K197" s="152"/>
    </row>
    <row r="198" spans="2:11" x14ac:dyDescent="0.25">
      <c r="B198" s="22"/>
      <c r="C198" s="152"/>
      <c r="D198" s="152"/>
      <c r="E198" s="11"/>
      <c r="F198" s="15"/>
      <c r="G198" s="152"/>
      <c r="H198" s="152"/>
      <c r="I198" s="152"/>
      <c r="J198" s="152"/>
      <c r="K198" s="152"/>
    </row>
    <row r="199" spans="2:11" x14ac:dyDescent="0.25">
      <c r="B199" s="22"/>
      <c r="C199" s="152"/>
      <c r="D199" s="152"/>
      <c r="E199" s="11"/>
      <c r="F199" s="15"/>
      <c r="G199" s="152"/>
      <c r="H199" s="152"/>
      <c r="I199" s="152"/>
      <c r="J199" s="152"/>
      <c r="K199" s="152"/>
    </row>
    <row r="200" spans="2:11" x14ac:dyDescent="0.25">
      <c r="B200" s="22"/>
      <c r="C200" s="152"/>
      <c r="D200" s="152"/>
      <c r="E200" s="11"/>
      <c r="F200" s="15"/>
      <c r="G200" s="152"/>
      <c r="H200" s="152"/>
      <c r="I200" s="152"/>
      <c r="J200" s="152"/>
      <c r="K200" s="152"/>
    </row>
    <row r="201" spans="2:11" x14ac:dyDescent="0.25">
      <c r="B201" s="22"/>
      <c r="C201" s="152"/>
      <c r="D201" s="152"/>
      <c r="E201" s="11"/>
      <c r="F201" s="15"/>
      <c r="G201" s="152"/>
      <c r="H201" s="152"/>
      <c r="I201" s="152"/>
      <c r="J201" s="152"/>
      <c r="K201" s="152"/>
    </row>
    <row r="202" spans="2:11" x14ac:dyDescent="0.25">
      <c r="B202" s="22"/>
      <c r="C202" s="152"/>
      <c r="D202" s="152"/>
      <c r="E202" s="11"/>
      <c r="F202" s="15"/>
      <c r="G202" s="152"/>
      <c r="H202" s="152"/>
      <c r="I202" s="152"/>
      <c r="J202" s="152"/>
      <c r="K202" s="152"/>
    </row>
    <row r="203" spans="2:11" x14ac:dyDescent="0.25">
      <c r="B203" s="22"/>
      <c r="C203" s="152"/>
      <c r="D203" s="152"/>
      <c r="E203" s="11"/>
      <c r="F203" s="15"/>
      <c r="G203" s="152"/>
      <c r="H203" s="152"/>
      <c r="I203" s="152"/>
      <c r="J203" s="152"/>
      <c r="K203" s="152"/>
    </row>
    <row r="204" spans="2:11" x14ac:dyDescent="0.25">
      <c r="B204" s="22"/>
      <c r="C204" s="152"/>
      <c r="D204" s="152"/>
      <c r="E204" s="11"/>
      <c r="F204" s="15"/>
      <c r="G204" s="152"/>
      <c r="H204" s="152"/>
      <c r="I204" s="152"/>
      <c r="J204" s="152"/>
      <c r="K204" s="152"/>
    </row>
    <row r="205" spans="2:11" x14ac:dyDescent="0.25">
      <c r="B205" s="22"/>
      <c r="C205" s="152"/>
      <c r="D205" s="152"/>
      <c r="E205" s="11"/>
      <c r="F205" s="15"/>
      <c r="G205" s="152"/>
      <c r="H205" s="152"/>
      <c r="I205" s="152"/>
      <c r="J205" s="152"/>
      <c r="K205" s="152"/>
    </row>
    <row r="206" spans="2:11" x14ac:dyDescent="0.25">
      <c r="B206" s="22"/>
      <c r="C206" s="152"/>
      <c r="D206" s="152"/>
      <c r="E206" s="11"/>
      <c r="F206" s="15"/>
      <c r="G206" s="152"/>
      <c r="H206" s="152"/>
      <c r="I206" s="152"/>
      <c r="J206" s="152"/>
      <c r="K206" s="152"/>
    </row>
    <row r="207" spans="2:11" x14ac:dyDescent="0.25">
      <c r="B207" s="22"/>
      <c r="C207" s="152"/>
      <c r="D207" s="152"/>
      <c r="E207" s="11"/>
      <c r="F207" s="15"/>
      <c r="G207" s="152"/>
      <c r="H207" s="152"/>
      <c r="I207" s="152"/>
      <c r="J207" s="152"/>
      <c r="K207" s="152"/>
    </row>
    <row r="208" spans="2:11" x14ac:dyDescent="0.25">
      <c r="B208" s="22"/>
      <c r="C208" s="152"/>
      <c r="D208" s="152"/>
      <c r="E208" s="11"/>
      <c r="F208" s="15"/>
      <c r="G208" s="152"/>
      <c r="H208" s="152"/>
      <c r="I208" s="152"/>
      <c r="J208" s="152"/>
      <c r="K208" s="152"/>
    </row>
    <row r="209" spans="2:11" x14ac:dyDescent="0.25">
      <c r="B209" s="22"/>
      <c r="C209" s="152"/>
      <c r="D209" s="152"/>
      <c r="E209" s="11"/>
      <c r="F209" s="15"/>
      <c r="G209" s="152"/>
      <c r="H209" s="152"/>
      <c r="I209" s="152"/>
      <c r="J209" s="152"/>
      <c r="K209" s="152"/>
    </row>
    <row r="210" spans="2:11" x14ac:dyDescent="0.25">
      <c r="B210" s="22"/>
      <c r="C210" s="152"/>
      <c r="D210" s="152"/>
      <c r="E210" s="11"/>
      <c r="F210" s="15"/>
      <c r="G210" s="152"/>
      <c r="H210" s="152"/>
      <c r="I210" s="152"/>
      <c r="J210" s="152"/>
      <c r="K210" s="152"/>
    </row>
    <row r="211" spans="2:11" x14ac:dyDescent="0.25">
      <c r="B211" s="22"/>
      <c r="C211" s="152"/>
      <c r="D211" s="152"/>
      <c r="E211" s="11"/>
      <c r="F211" s="15"/>
      <c r="G211" s="152"/>
      <c r="H211" s="152"/>
      <c r="I211" s="152"/>
      <c r="J211" s="152"/>
      <c r="K211" s="152"/>
    </row>
    <row r="212" spans="2:11" x14ac:dyDescent="0.25">
      <c r="B212" s="22"/>
      <c r="C212" s="152"/>
      <c r="D212" s="152"/>
      <c r="E212" s="11"/>
      <c r="F212" s="15"/>
      <c r="G212" s="152"/>
      <c r="H212" s="152"/>
      <c r="I212" s="152"/>
      <c r="J212" s="152"/>
      <c r="K212" s="152"/>
    </row>
    <row r="213" spans="2:11" x14ac:dyDescent="0.25">
      <c r="B213" s="22"/>
      <c r="C213" s="152"/>
      <c r="D213" s="152"/>
      <c r="E213" s="11"/>
      <c r="F213" s="15"/>
      <c r="G213" s="152"/>
      <c r="H213" s="152"/>
      <c r="I213" s="152"/>
      <c r="J213" s="152"/>
      <c r="K213" s="152"/>
    </row>
    <row r="214" spans="2:11" x14ac:dyDescent="0.25">
      <c r="B214" s="22"/>
      <c r="C214" s="152"/>
      <c r="D214" s="152"/>
      <c r="E214" s="11"/>
      <c r="F214" s="15"/>
      <c r="G214" s="152"/>
      <c r="H214" s="152"/>
      <c r="I214" s="152"/>
      <c r="J214" s="152"/>
      <c r="K214" s="152"/>
    </row>
    <row r="215" spans="2:11" x14ac:dyDescent="0.25">
      <c r="B215" s="22"/>
      <c r="C215" s="152"/>
      <c r="D215" s="152"/>
      <c r="E215" s="11"/>
      <c r="F215" s="15"/>
      <c r="G215" s="152"/>
      <c r="H215" s="152"/>
      <c r="I215" s="152"/>
      <c r="J215" s="152"/>
      <c r="K215" s="152"/>
    </row>
    <row r="216" spans="2:11" x14ac:dyDescent="0.25">
      <c r="B216" s="22"/>
      <c r="C216" s="152"/>
      <c r="D216" s="152"/>
      <c r="E216" s="11"/>
      <c r="F216" s="15"/>
      <c r="G216" s="152"/>
      <c r="H216" s="152"/>
      <c r="I216" s="152"/>
      <c r="J216" s="152"/>
      <c r="K216" s="152"/>
    </row>
    <row r="217" spans="2:11" x14ac:dyDescent="0.25">
      <c r="B217" s="22"/>
      <c r="C217" s="152"/>
      <c r="D217" s="152"/>
      <c r="E217" s="11"/>
      <c r="F217" s="15"/>
      <c r="G217" s="152"/>
      <c r="H217" s="152"/>
      <c r="I217" s="152"/>
      <c r="J217" s="152"/>
      <c r="K217" s="152"/>
    </row>
    <row r="218" spans="2:11" x14ac:dyDescent="0.25">
      <c r="B218" s="22"/>
      <c r="C218" s="152"/>
      <c r="D218" s="152"/>
      <c r="E218" s="11"/>
      <c r="F218" s="15"/>
      <c r="G218" s="152"/>
      <c r="H218" s="152"/>
      <c r="I218" s="152"/>
      <c r="J218" s="152"/>
      <c r="K218" s="152"/>
    </row>
    <row r="219" spans="2:11" x14ac:dyDescent="0.25">
      <c r="B219" s="22"/>
      <c r="C219" s="152"/>
      <c r="D219" s="152"/>
      <c r="E219" s="11"/>
      <c r="F219" s="15"/>
      <c r="G219" s="152"/>
      <c r="H219" s="152"/>
      <c r="I219" s="152"/>
      <c r="J219" s="152"/>
      <c r="K219" s="152"/>
    </row>
    <row r="220" spans="2:11" x14ac:dyDescent="0.25">
      <c r="B220" s="22"/>
      <c r="C220" s="152"/>
      <c r="D220" s="152"/>
      <c r="E220" s="11"/>
      <c r="F220" s="15"/>
      <c r="G220" s="152"/>
      <c r="H220" s="152"/>
      <c r="I220" s="152"/>
      <c r="J220" s="152"/>
      <c r="K220" s="152"/>
    </row>
    <row r="221" spans="2:11" x14ac:dyDescent="0.25">
      <c r="B221" s="22"/>
      <c r="C221" s="152"/>
      <c r="D221" s="152"/>
      <c r="E221" s="11"/>
      <c r="F221" s="15"/>
      <c r="G221" s="152"/>
      <c r="H221" s="152"/>
      <c r="I221" s="152"/>
      <c r="J221" s="152"/>
      <c r="K221" s="152"/>
    </row>
    <row r="222" spans="2:11" x14ac:dyDescent="0.25">
      <c r="B222" s="22"/>
      <c r="C222" s="152"/>
      <c r="D222" s="152"/>
      <c r="E222" s="11"/>
      <c r="F222" s="15"/>
      <c r="G222" s="152"/>
      <c r="H222" s="152"/>
      <c r="I222" s="152"/>
      <c r="J222" s="152"/>
      <c r="K222" s="152"/>
    </row>
    <row r="223" spans="2:11" x14ac:dyDescent="0.25">
      <c r="B223" s="22"/>
      <c r="C223" s="152"/>
      <c r="D223" s="152"/>
      <c r="E223" s="11"/>
      <c r="F223" s="15"/>
      <c r="G223" s="152"/>
      <c r="H223" s="152"/>
      <c r="I223" s="152"/>
      <c r="J223" s="152"/>
      <c r="K223" s="152"/>
    </row>
    <row r="224" spans="2:11" x14ac:dyDescent="0.25">
      <c r="B224" s="22"/>
      <c r="C224" s="152"/>
      <c r="D224" s="152"/>
      <c r="E224" s="11"/>
      <c r="F224" s="15"/>
      <c r="G224" s="152"/>
      <c r="H224" s="152"/>
      <c r="I224" s="152"/>
      <c r="J224" s="152"/>
      <c r="K224" s="152"/>
    </row>
    <row r="225" spans="2:11" x14ac:dyDescent="0.25">
      <c r="B225" s="22"/>
      <c r="C225" s="152"/>
      <c r="D225" s="152"/>
      <c r="E225" s="11"/>
      <c r="F225" s="15"/>
      <c r="G225" s="152"/>
      <c r="H225" s="152"/>
      <c r="I225" s="152"/>
      <c r="J225" s="152"/>
      <c r="K225" s="152"/>
    </row>
    <row r="226" spans="2:11" x14ac:dyDescent="0.25">
      <c r="B226" s="22"/>
      <c r="C226" s="152"/>
      <c r="D226" s="152"/>
      <c r="E226" s="11"/>
      <c r="F226" s="15"/>
      <c r="G226" s="152"/>
      <c r="H226" s="152"/>
      <c r="I226" s="152"/>
      <c r="J226" s="152"/>
      <c r="K226" s="152"/>
    </row>
    <row r="227" spans="2:11" x14ac:dyDescent="0.25">
      <c r="B227" s="22"/>
      <c r="C227" s="152"/>
      <c r="D227" s="152"/>
      <c r="E227" s="11"/>
      <c r="F227" s="15"/>
      <c r="G227" s="152"/>
      <c r="H227" s="152"/>
      <c r="I227" s="152"/>
      <c r="J227" s="152"/>
      <c r="K227" s="152"/>
    </row>
    <row r="228" spans="2:11" x14ac:dyDescent="0.25">
      <c r="B228" s="22"/>
      <c r="C228" s="152"/>
      <c r="D228" s="152"/>
      <c r="E228" s="11"/>
      <c r="F228" s="15"/>
      <c r="G228" s="152"/>
    </row>
    <row r="229" spans="2:11" x14ac:dyDescent="0.25">
      <c r="B229" s="22"/>
      <c r="C229" s="152"/>
      <c r="D229" s="152"/>
      <c r="E229" s="11"/>
      <c r="F229" s="15"/>
      <c r="G229" s="152"/>
    </row>
    <row r="230" spans="2:11" x14ac:dyDescent="0.25">
      <c r="B230" s="22"/>
      <c r="C230" s="152"/>
      <c r="D230" s="152"/>
      <c r="E230" s="11"/>
      <c r="F230" s="15"/>
      <c r="G230" s="152"/>
    </row>
    <row r="231" spans="2:11" x14ac:dyDescent="0.25">
      <c r="B231" s="22"/>
      <c r="C231" s="152"/>
      <c r="D231" s="152"/>
      <c r="E231" s="11"/>
      <c r="F231" s="15"/>
      <c r="G231" s="152"/>
    </row>
    <row r="232" spans="2:11" x14ac:dyDescent="0.25">
      <c r="B232" s="22"/>
      <c r="C232" s="152"/>
      <c r="D232" s="152"/>
      <c r="E232" s="11"/>
      <c r="F232" s="15"/>
      <c r="G232" s="152"/>
    </row>
    <row r="233" spans="2:11" x14ac:dyDescent="0.25">
      <c r="B233" s="22"/>
      <c r="C233" s="152"/>
      <c r="D233" s="152"/>
      <c r="E233" s="11"/>
      <c r="F233" s="15"/>
      <c r="G233" s="152"/>
    </row>
    <row r="234" spans="2:11" x14ac:dyDescent="0.25">
      <c r="B234" s="22"/>
      <c r="C234" s="152"/>
      <c r="D234" s="152"/>
      <c r="E234" s="11"/>
      <c r="F234" s="15"/>
      <c r="G234" s="152"/>
    </row>
    <row r="235" spans="2:11" x14ac:dyDescent="0.25">
      <c r="B235" s="22"/>
      <c r="C235" s="152"/>
      <c r="D235" s="152"/>
      <c r="E235" s="11"/>
      <c r="F235" s="15"/>
      <c r="G235" s="152"/>
    </row>
    <row r="236" spans="2:11" x14ac:dyDescent="0.25">
      <c r="B236" s="22"/>
      <c r="C236" s="152"/>
      <c r="D236" s="152"/>
      <c r="E236" s="11"/>
      <c r="F236" s="15"/>
      <c r="G236" s="152"/>
    </row>
    <row r="237" spans="2:11" x14ac:dyDescent="0.25">
      <c r="B237" s="22"/>
      <c r="C237" s="152"/>
      <c r="D237" s="152"/>
      <c r="E237" s="11"/>
      <c r="F237" s="15"/>
      <c r="G237" s="152"/>
    </row>
    <row r="238" spans="2:11" x14ac:dyDescent="0.25">
      <c r="B238" s="22"/>
      <c r="C238" s="152"/>
      <c r="D238" s="152"/>
      <c r="E238" s="11"/>
      <c r="F238" s="15"/>
      <c r="G238" s="152"/>
    </row>
    <row r="239" spans="2:11" x14ac:dyDescent="0.25">
      <c r="B239" s="22"/>
      <c r="C239" s="152"/>
      <c r="D239" s="152"/>
      <c r="E239" s="11"/>
      <c r="F239" s="15"/>
      <c r="G239" s="152"/>
    </row>
    <row r="240" spans="2:11" x14ac:dyDescent="0.25">
      <c r="B240" s="22"/>
      <c r="C240" s="152"/>
      <c r="D240" s="152"/>
      <c r="E240" s="11"/>
      <c r="F240" s="15"/>
      <c r="G240" s="152"/>
    </row>
    <row r="241" spans="2:7" x14ac:dyDescent="0.25">
      <c r="B241" s="22"/>
      <c r="C241" s="152"/>
      <c r="D241" s="152"/>
      <c r="E241" s="11"/>
      <c r="F241" s="15"/>
      <c r="G241" s="152"/>
    </row>
    <row r="242" spans="2:7" x14ac:dyDescent="0.25">
      <c r="B242" s="22"/>
      <c r="C242" s="152"/>
      <c r="D242" s="152"/>
      <c r="E242" s="11"/>
      <c r="F242" s="15"/>
    </row>
    <row r="243" spans="2:7" x14ac:dyDescent="0.25">
      <c r="B243" s="22"/>
      <c r="C243" s="152"/>
      <c r="D243" s="152"/>
      <c r="E243" s="11"/>
      <c r="F243" s="15"/>
    </row>
    <row r="244" spans="2:7" x14ac:dyDescent="0.25">
      <c r="B244" s="22"/>
      <c r="C244" s="152"/>
      <c r="D244" s="152"/>
      <c r="E244" s="11"/>
      <c r="F244" s="15"/>
    </row>
    <row r="245" spans="2:7" x14ac:dyDescent="0.25">
      <c r="B245" s="22"/>
      <c r="C245" s="152"/>
      <c r="D245" s="152"/>
      <c r="E245" s="11"/>
      <c r="F245" s="15"/>
    </row>
    <row r="246" spans="2:7" x14ac:dyDescent="0.25">
      <c r="B246" s="22"/>
      <c r="C246" s="152"/>
      <c r="D246" s="152"/>
      <c r="E246" s="11"/>
      <c r="F246" s="15"/>
    </row>
    <row r="247" spans="2:7" x14ac:dyDescent="0.25">
      <c r="B247" s="22"/>
      <c r="C247" s="152"/>
      <c r="D247" s="152"/>
      <c r="E247" s="11"/>
      <c r="F247" s="15"/>
    </row>
    <row r="248" spans="2:7" x14ac:dyDescent="0.25">
      <c r="B248" s="22"/>
      <c r="C248" s="152"/>
      <c r="D248" s="152"/>
      <c r="E248" s="11"/>
      <c r="F248" s="15"/>
    </row>
    <row r="249" spans="2:7" x14ac:dyDescent="0.25">
      <c r="B249" s="22"/>
      <c r="C249" s="152"/>
      <c r="D249" s="152"/>
      <c r="E249" s="11"/>
      <c r="F249" s="15"/>
    </row>
    <row r="250" spans="2:7" x14ac:dyDescent="0.25">
      <c r="B250" s="22"/>
      <c r="C250" s="152"/>
      <c r="D250" s="152"/>
      <c r="E250" s="11"/>
      <c r="F250" s="15"/>
    </row>
    <row r="251" spans="2:7" x14ac:dyDescent="0.25">
      <c r="B251" s="22"/>
      <c r="C251" s="152"/>
      <c r="D251" s="152"/>
      <c r="E251" s="11"/>
      <c r="F251" s="15"/>
    </row>
    <row r="252" spans="2:7" x14ac:dyDescent="0.25">
      <c r="B252" s="22"/>
      <c r="C252" s="152"/>
      <c r="D252" s="152"/>
      <c r="E252" s="11"/>
      <c r="F252" s="15"/>
    </row>
    <row r="253" spans="2:7" x14ac:dyDescent="0.25">
      <c r="B253" s="22"/>
      <c r="C253" s="152"/>
      <c r="D253" s="152"/>
      <c r="E253" s="11"/>
      <c r="F253" s="15"/>
    </row>
    <row r="254" spans="2:7" x14ac:dyDescent="0.25">
      <c r="B254" s="22"/>
      <c r="C254" s="152"/>
      <c r="D254" s="152"/>
      <c r="E254" s="11"/>
      <c r="F254" s="15"/>
    </row>
    <row r="255" spans="2:7" x14ac:dyDescent="0.25">
      <c r="B255" s="22"/>
      <c r="C255" s="152"/>
      <c r="D255" s="152"/>
      <c r="E255" s="11"/>
      <c r="F255" s="15"/>
    </row>
    <row r="256" spans="2:7" x14ac:dyDescent="0.25">
      <c r="B256" s="22"/>
      <c r="C256" s="152"/>
      <c r="D256" s="152"/>
      <c r="E256" s="11"/>
      <c r="F256" s="15"/>
    </row>
    <row r="257" spans="2:6" x14ac:dyDescent="0.25">
      <c r="B257" s="22"/>
      <c r="C257" s="152"/>
      <c r="D257" s="152"/>
      <c r="E257" s="11"/>
      <c r="F257" s="15"/>
    </row>
    <row r="258" spans="2:6" x14ac:dyDescent="0.25">
      <c r="B258" s="22"/>
      <c r="C258" s="152"/>
      <c r="D258" s="152"/>
      <c r="E258" s="11"/>
      <c r="F258" s="15"/>
    </row>
    <row r="259" spans="2:6" x14ac:dyDescent="0.25">
      <c r="B259" s="22"/>
      <c r="C259" s="152"/>
      <c r="D259" s="152"/>
      <c r="E259" s="11"/>
      <c r="F259" s="15"/>
    </row>
    <row r="260" spans="2:6" x14ac:dyDescent="0.25">
      <c r="B260" s="22"/>
      <c r="C260" s="152"/>
      <c r="D260" s="152"/>
      <c r="E260" s="11"/>
      <c r="F260" s="15"/>
    </row>
    <row r="261" spans="2:6" x14ac:dyDescent="0.25">
      <c r="B261" s="22"/>
      <c r="C261" s="152"/>
      <c r="D261" s="152"/>
      <c r="E261" s="11"/>
      <c r="F261" s="15"/>
    </row>
    <row r="262" spans="2:6" x14ac:dyDescent="0.25">
      <c r="B262" s="22"/>
      <c r="C262" s="152"/>
      <c r="D262" s="152"/>
      <c r="E262" s="11"/>
      <c r="F262" s="15"/>
    </row>
    <row r="263" spans="2:6" x14ac:dyDescent="0.25">
      <c r="B263" s="22"/>
      <c r="C263" s="152"/>
      <c r="D263" s="152"/>
      <c r="E263" s="11"/>
      <c r="F263" s="15"/>
    </row>
    <row r="264" spans="2:6" x14ac:dyDescent="0.25">
      <c r="B264" s="22"/>
      <c r="C264" s="152"/>
      <c r="D264" s="152"/>
      <c r="E264" s="11"/>
      <c r="F264" s="15"/>
    </row>
    <row r="265" spans="2:6" x14ac:dyDescent="0.25">
      <c r="B265" s="22"/>
      <c r="C265" s="152"/>
      <c r="D265" s="152"/>
      <c r="E265" s="11"/>
      <c r="F265" s="15"/>
    </row>
    <row r="266" spans="2:6" x14ac:dyDescent="0.25">
      <c r="B266" s="22"/>
      <c r="C266" s="152"/>
      <c r="D266" s="152"/>
      <c r="E266" s="11"/>
      <c r="F266" s="15"/>
    </row>
    <row r="267" spans="2:6" x14ac:dyDescent="0.25">
      <c r="B267" s="22"/>
      <c r="C267" s="152"/>
      <c r="D267" s="152"/>
      <c r="E267" s="11"/>
      <c r="F267" s="15"/>
    </row>
    <row r="268" spans="2:6" x14ac:dyDescent="0.25">
      <c r="B268" s="22"/>
      <c r="C268" s="152"/>
      <c r="D268" s="152"/>
      <c r="E268" s="11"/>
      <c r="F268" s="15"/>
    </row>
    <row r="269" spans="2:6" x14ac:dyDescent="0.25">
      <c r="B269" s="22"/>
      <c r="C269" s="152"/>
      <c r="D269" s="152"/>
      <c r="E269" s="11"/>
      <c r="F269" s="15"/>
    </row>
    <row r="270" spans="2:6" x14ac:dyDescent="0.25">
      <c r="B270" s="22"/>
      <c r="C270" s="152"/>
      <c r="D270" s="152"/>
      <c r="E270" s="11"/>
      <c r="F270" s="15"/>
    </row>
    <row r="271" spans="2:6" x14ac:dyDescent="0.25">
      <c r="B271" s="22"/>
      <c r="C271" s="152"/>
      <c r="D271" s="152"/>
      <c r="E271" s="11"/>
      <c r="F271" s="15"/>
    </row>
    <row r="272" spans="2:6" x14ac:dyDescent="0.25">
      <c r="B272" s="22"/>
      <c r="C272" s="152"/>
      <c r="D272" s="152"/>
      <c r="E272" s="11"/>
      <c r="F272" s="15"/>
    </row>
    <row r="273" spans="2:6" x14ac:dyDescent="0.25">
      <c r="B273" s="22"/>
      <c r="C273" s="152"/>
      <c r="D273" s="152"/>
      <c r="E273" s="11"/>
      <c r="F273" s="15"/>
    </row>
    <row r="274" spans="2:6" x14ac:dyDescent="0.25">
      <c r="B274" s="22"/>
      <c r="C274" s="152"/>
      <c r="D274" s="152"/>
      <c r="E274" s="11"/>
      <c r="F274" s="15"/>
    </row>
    <row r="275" spans="2:6" x14ac:dyDescent="0.25">
      <c r="B275" s="22"/>
      <c r="C275" s="152"/>
      <c r="D275" s="152"/>
      <c r="E275" s="11"/>
      <c r="F275" s="15"/>
    </row>
    <row r="276" spans="2:6" x14ac:dyDescent="0.25">
      <c r="B276" s="22"/>
      <c r="C276" s="152"/>
      <c r="D276" s="152"/>
      <c r="E276" s="11"/>
      <c r="F276" s="15"/>
    </row>
    <row r="277" spans="2:6" x14ac:dyDescent="0.25">
      <c r="B277" s="22"/>
      <c r="C277" s="152"/>
      <c r="D277" s="152"/>
      <c r="E277" s="11"/>
      <c r="F277" s="15"/>
    </row>
    <row r="278" spans="2:6" x14ac:dyDescent="0.25">
      <c r="B278" s="22"/>
      <c r="C278" s="152"/>
      <c r="D278" s="152"/>
      <c r="E278" s="11"/>
      <c r="F278" s="15"/>
    </row>
    <row r="279" spans="2:6" x14ac:dyDescent="0.25">
      <c r="B279" s="22"/>
      <c r="C279" s="152"/>
      <c r="D279" s="152"/>
      <c r="E279" s="11"/>
      <c r="F279" s="15"/>
    </row>
    <row r="280" spans="2:6" x14ac:dyDescent="0.25">
      <c r="B280" s="22"/>
      <c r="C280" s="152"/>
      <c r="D280" s="152"/>
      <c r="E280" s="11"/>
      <c r="F280" s="15"/>
    </row>
    <row r="281" spans="2:6" x14ac:dyDescent="0.25">
      <c r="B281" s="22"/>
      <c r="C281" s="152"/>
      <c r="D281" s="152"/>
      <c r="E281" s="11"/>
      <c r="F281" s="15"/>
    </row>
    <row r="282" spans="2:6" x14ac:dyDescent="0.25">
      <c r="B282" s="22"/>
      <c r="C282" s="152"/>
      <c r="D282" s="152"/>
      <c r="E282" s="11"/>
      <c r="F282" s="15"/>
    </row>
    <row r="283" spans="2:6" x14ac:dyDescent="0.25">
      <c r="B283" s="22"/>
      <c r="C283" s="152"/>
      <c r="D283" s="152"/>
      <c r="E283" s="11"/>
      <c r="F283" s="15"/>
    </row>
    <row r="284" spans="2:6" x14ac:dyDescent="0.25">
      <c r="B284" s="22"/>
      <c r="C284" s="152"/>
      <c r="D284" s="152"/>
      <c r="E284" s="11"/>
      <c r="F284" s="15"/>
    </row>
    <row r="285" spans="2:6" x14ac:dyDescent="0.25">
      <c r="B285" s="22"/>
      <c r="C285" s="152"/>
      <c r="D285" s="152"/>
      <c r="E285" s="11"/>
      <c r="F285" s="15"/>
    </row>
    <row r="286" spans="2:6" x14ac:dyDescent="0.25">
      <c r="B286" s="22"/>
      <c r="C286" s="152"/>
      <c r="D286" s="152"/>
      <c r="E286" s="11"/>
      <c r="F286" s="15"/>
    </row>
    <row r="287" spans="2:6" x14ac:dyDescent="0.25">
      <c r="B287" s="22"/>
      <c r="C287" s="152"/>
      <c r="D287" s="152"/>
      <c r="E287" s="11"/>
      <c r="F287" s="15"/>
    </row>
    <row r="288" spans="2:6" x14ac:dyDescent="0.25">
      <c r="B288" s="22"/>
      <c r="C288" s="152"/>
      <c r="D288" s="152"/>
      <c r="E288" s="11"/>
      <c r="F288" s="15"/>
    </row>
    <row r="289" spans="2:6" x14ac:dyDescent="0.25">
      <c r="B289" s="22"/>
      <c r="C289" s="152"/>
      <c r="D289" s="152"/>
      <c r="E289" s="11"/>
      <c r="F289" s="15"/>
    </row>
    <row r="290" spans="2:6" x14ac:dyDescent="0.25">
      <c r="B290" s="22"/>
      <c r="C290" s="152"/>
      <c r="D290" s="152"/>
      <c r="E290" s="11"/>
      <c r="F290" s="15"/>
    </row>
    <row r="291" spans="2:6" x14ac:dyDescent="0.25">
      <c r="B291" s="22"/>
      <c r="C291" s="152"/>
      <c r="D291" s="152"/>
      <c r="E291" s="11"/>
      <c r="F291" s="15"/>
    </row>
    <row r="292" spans="2:6" x14ac:dyDescent="0.25">
      <c r="B292" s="22"/>
      <c r="C292" s="152"/>
      <c r="D292" s="152"/>
      <c r="E292" s="11"/>
      <c r="F292" s="15"/>
    </row>
    <row r="293" spans="2:6" x14ac:dyDescent="0.25">
      <c r="B293" s="22"/>
      <c r="C293" s="152"/>
      <c r="D293" s="152"/>
      <c r="E293" s="11"/>
      <c r="F293" s="15"/>
    </row>
    <row r="294" spans="2:6" x14ac:dyDescent="0.25">
      <c r="B294" s="22"/>
      <c r="C294" s="152"/>
      <c r="D294" s="152"/>
      <c r="E294" s="11"/>
      <c r="F294" s="15"/>
    </row>
    <row r="295" spans="2:6" x14ac:dyDescent="0.25">
      <c r="B295" s="22"/>
      <c r="C295" s="152"/>
      <c r="D295" s="152"/>
      <c r="E295" s="11"/>
      <c r="F295" s="15"/>
    </row>
    <row r="296" spans="2:6" x14ac:dyDescent="0.25">
      <c r="B296" s="22"/>
      <c r="C296" s="152"/>
      <c r="D296" s="152"/>
      <c r="E296" s="11"/>
      <c r="F296" s="15"/>
    </row>
    <row r="297" spans="2:6" x14ac:dyDescent="0.25">
      <c r="B297" s="22"/>
      <c r="C297" s="152"/>
      <c r="D297" s="152"/>
      <c r="E297" s="11"/>
      <c r="F297" s="15"/>
    </row>
    <row r="298" spans="2:6" x14ac:dyDescent="0.25">
      <c r="B298" s="22"/>
      <c r="C298" s="152"/>
      <c r="D298" s="152"/>
      <c r="E298" s="11"/>
      <c r="F298" s="15"/>
    </row>
    <row r="299" spans="2:6" x14ac:dyDescent="0.25">
      <c r="B299" s="22"/>
      <c r="C299" s="152"/>
      <c r="D299" s="152"/>
      <c r="E299" s="11"/>
      <c r="F299" s="15"/>
    </row>
    <row r="300" spans="2:6" x14ac:dyDescent="0.25">
      <c r="B300" s="22"/>
      <c r="C300" s="152"/>
      <c r="D300" s="152"/>
      <c r="E300" s="11"/>
      <c r="F300" s="15"/>
    </row>
    <row r="301" spans="2:6" x14ac:dyDescent="0.25">
      <c r="B301" s="22"/>
      <c r="C301" s="152"/>
      <c r="D301" s="152"/>
      <c r="E301" s="11"/>
      <c r="F301" s="15"/>
    </row>
    <row r="302" spans="2:6" x14ac:dyDescent="0.25">
      <c r="B302" s="22"/>
      <c r="C302" s="152"/>
      <c r="D302" s="152"/>
      <c r="E302" s="11"/>
      <c r="F302" s="15"/>
    </row>
    <row r="303" spans="2:6" x14ac:dyDescent="0.25">
      <c r="B303" s="22"/>
      <c r="C303" s="152"/>
      <c r="D303" s="152"/>
      <c r="E303" s="11"/>
      <c r="F303" s="15"/>
    </row>
    <row r="304" spans="2:6" x14ac:dyDescent="0.25">
      <c r="B304" s="22"/>
      <c r="C304" s="152"/>
      <c r="D304" s="152"/>
      <c r="E304" s="11"/>
      <c r="F304" s="15"/>
    </row>
    <row r="305" spans="2:6" x14ac:dyDescent="0.25">
      <c r="B305" s="22"/>
      <c r="C305" s="152"/>
      <c r="D305" s="152"/>
      <c r="E305" s="11"/>
      <c r="F305" s="15"/>
    </row>
    <row r="306" spans="2:6" x14ac:dyDescent="0.25">
      <c r="B306" s="22"/>
      <c r="C306" s="152"/>
      <c r="D306" s="152"/>
      <c r="E306" s="11"/>
      <c r="F306" s="15"/>
    </row>
    <row r="307" spans="2:6" x14ac:dyDescent="0.25">
      <c r="B307" s="22"/>
      <c r="C307" s="152"/>
      <c r="D307" s="152"/>
      <c r="E307" s="11"/>
      <c r="F307" s="15"/>
    </row>
    <row r="308" spans="2:6" x14ac:dyDescent="0.25">
      <c r="B308" s="22"/>
      <c r="C308" s="152"/>
      <c r="D308" s="152"/>
      <c r="E308" s="11"/>
      <c r="F308" s="15"/>
    </row>
    <row r="309" spans="2:6" x14ac:dyDescent="0.25">
      <c r="B309" s="22"/>
      <c r="C309" s="152"/>
      <c r="D309" s="152"/>
      <c r="E309" s="11"/>
      <c r="F309" s="15"/>
    </row>
    <row r="310" spans="2:6" x14ac:dyDescent="0.25">
      <c r="B310" s="22"/>
      <c r="C310" s="152"/>
      <c r="D310" s="152"/>
      <c r="E310" s="11"/>
      <c r="F310" s="15"/>
    </row>
    <row r="311" spans="2:6" x14ac:dyDescent="0.25">
      <c r="B311" s="22"/>
      <c r="C311" s="152"/>
      <c r="D311" s="152"/>
      <c r="E311" s="11"/>
      <c r="F311" s="15"/>
    </row>
    <row r="312" spans="2:6" x14ac:dyDescent="0.25">
      <c r="B312" s="22"/>
      <c r="C312" s="152"/>
      <c r="D312" s="152"/>
      <c r="E312" s="11"/>
      <c r="F312" s="15"/>
    </row>
    <row r="313" spans="2:6" x14ac:dyDescent="0.25">
      <c r="E313"/>
    </row>
    <row r="314" spans="2:6" x14ac:dyDescent="0.25">
      <c r="E314"/>
    </row>
    <row r="315" spans="2:6" x14ac:dyDescent="0.25">
      <c r="E315"/>
    </row>
    <row r="316" spans="2:6" x14ac:dyDescent="0.25">
      <c r="E316"/>
    </row>
    <row r="317" spans="2:6" x14ac:dyDescent="0.25">
      <c r="E317"/>
    </row>
    <row r="318" spans="2:6" x14ac:dyDescent="0.25">
      <c r="E318"/>
    </row>
    <row r="319" spans="2:6" x14ac:dyDescent="0.25">
      <c r="E319"/>
    </row>
    <row r="320" spans="2:6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</sheetData>
  <sheetProtection sheet="1" selectLockedCells="1"/>
  <mergeCells count="92">
    <mergeCell ref="A57:B57"/>
    <mergeCell ref="C152:H152"/>
    <mergeCell ref="A43:G43"/>
    <mergeCell ref="H43:K43"/>
    <mergeCell ref="L43:M43"/>
    <mergeCell ref="A44:G45"/>
    <mergeCell ref="H44:K45"/>
    <mergeCell ref="A46:M46"/>
    <mergeCell ref="L41:M41"/>
    <mergeCell ref="J41:K41"/>
    <mergeCell ref="B36:G36"/>
    <mergeCell ref="L36:M36"/>
    <mergeCell ref="B37:G37"/>
    <mergeCell ref="L37:M37"/>
    <mergeCell ref="B38:G38"/>
    <mergeCell ref="L38:M38"/>
    <mergeCell ref="B39:G39"/>
    <mergeCell ref="L39:M39"/>
    <mergeCell ref="J40:K40"/>
    <mergeCell ref="L40:M40"/>
    <mergeCell ref="E40:H40"/>
    <mergeCell ref="B33:G33"/>
    <mergeCell ref="L33:M33"/>
    <mergeCell ref="B34:G34"/>
    <mergeCell ref="L34:M34"/>
    <mergeCell ref="B35:G35"/>
    <mergeCell ref="L35:M35"/>
    <mergeCell ref="B30:G30"/>
    <mergeCell ref="L30:M30"/>
    <mergeCell ref="B31:G31"/>
    <mergeCell ref="L31:M31"/>
    <mergeCell ref="B32:G32"/>
    <mergeCell ref="L32:M32"/>
    <mergeCell ref="B27:G27"/>
    <mergeCell ref="L27:M27"/>
    <mergeCell ref="B28:G28"/>
    <mergeCell ref="L28:M28"/>
    <mergeCell ref="B29:G29"/>
    <mergeCell ref="L29:M29"/>
    <mergeCell ref="B24:G24"/>
    <mergeCell ref="L24:M24"/>
    <mergeCell ref="B25:G25"/>
    <mergeCell ref="L25:M25"/>
    <mergeCell ref="B26:G26"/>
    <mergeCell ref="L26:M26"/>
    <mergeCell ref="B21:G21"/>
    <mergeCell ref="L21:M21"/>
    <mergeCell ref="B22:G22"/>
    <mergeCell ref="L22:M22"/>
    <mergeCell ref="B23:G23"/>
    <mergeCell ref="L23:M23"/>
    <mergeCell ref="B18:G18"/>
    <mergeCell ref="L18:M18"/>
    <mergeCell ref="B19:G19"/>
    <mergeCell ref="L19:M19"/>
    <mergeCell ref="B20:G20"/>
    <mergeCell ref="L20:M20"/>
    <mergeCell ref="B15:G15"/>
    <mergeCell ref="L15:M15"/>
    <mergeCell ref="B16:G16"/>
    <mergeCell ref="L16:M16"/>
    <mergeCell ref="B17:G17"/>
    <mergeCell ref="L17:M17"/>
    <mergeCell ref="B12:G12"/>
    <mergeCell ref="L12:M12"/>
    <mergeCell ref="B13:G13"/>
    <mergeCell ref="L13:M13"/>
    <mergeCell ref="B14:G14"/>
    <mergeCell ref="L14:M14"/>
    <mergeCell ref="B9:G9"/>
    <mergeCell ref="L9:M9"/>
    <mergeCell ref="B10:G10"/>
    <mergeCell ref="L10:M10"/>
    <mergeCell ref="B11:G11"/>
    <mergeCell ref="L11:M11"/>
    <mergeCell ref="A6:C6"/>
    <mergeCell ref="D6:E6"/>
    <mergeCell ref="F6:I6"/>
    <mergeCell ref="J6:K6"/>
    <mergeCell ref="L6:M6"/>
    <mergeCell ref="A7:C7"/>
    <mergeCell ref="D7:E7"/>
    <mergeCell ref="F7:I7"/>
    <mergeCell ref="J7:K7"/>
    <mergeCell ref="L7:M7"/>
    <mergeCell ref="A1:C5"/>
    <mergeCell ref="D1:H5"/>
    <mergeCell ref="I1:K1"/>
    <mergeCell ref="I2:I3"/>
    <mergeCell ref="J2:K3"/>
    <mergeCell ref="I4:I5"/>
    <mergeCell ref="J4:K5"/>
  </mergeCells>
  <phoneticPr fontId="16" type="noConversion"/>
  <dataValidations count="1">
    <dataValidation type="list" allowBlank="1" showInputMessage="1" showErrorMessage="1" sqref="D48:D49" xr:uid="{00000000-0002-0000-0200-000000000000}">
      <formula1>#REF!</formula1>
    </dataValidation>
  </dataValidations>
  <pageMargins left="0.35" right="0.35" top="0.39370078740157499" bottom="0.39370078740157499" header="0.3" footer="0.3"/>
  <pageSetup scale="62" orientation="portrait" horizontalDpi="4294967292" verticalDpi="4294967292" r:id="rId1"/>
  <headerFooter alignWithMargins="0"/>
  <ignoredErrors>
    <ignoredError sqref="O10:O39 J2:K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D4B006-DD95-42FF-926E-7B585FACE78B}">
          <x14:formula1>
            <xm:f>BDD!$A$8:$A$101</xm:f>
          </x14:formula1>
          <xm:sqref>B10:G39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/>
  </sheetPr>
  <dimension ref="A1:IW322"/>
  <sheetViews>
    <sheetView view="pageLayout" workbookViewId="0">
      <selection activeCell="K7" sqref="K7:L7"/>
    </sheetView>
  </sheetViews>
  <sheetFormatPr defaultColWidth="22.42578125" defaultRowHeight="15" x14ac:dyDescent="0.25"/>
  <cols>
    <col min="1" max="1" width="3.85546875" style="32" customWidth="1"/>
    <col min="2" max="2" width="5.85546875" customWidth="1"/>
    <col min="3" max="3" width="22.42578125" customWidth="1"/>
    <col min="4" max="4" width="5.85546875" customWidth="1"/>
    <col min="5" max="5" width="7.7109375" customWidth="1"/>
    <col min="6" max="6" width="5" style="22" customWidth="1"/>
    <col min="7" max="7" width="10.42578125" bestFit="1" customWidth="1"/>
    <col min="8" max="8" width="11.140625" bestFit="1" customWidth="1"/>
    <col min="9" max="9" width="10.7109375" customWidth="1"/>
    <col min="10" max="10" width="10.42578125" bestFit="1" customWidth="1"/>
    <col min="11" max="11" width="10.28515625" customWidth="1"/>
    <col min="12" max="12" width="4.42578125" customWidth="1"/>
    <col min="13" max="13" width="9.7109375" style="120" customWidth="1"/>
    <col min="14" max="14" width="10.42578125" customWidth="1"/>
    <col min="15" max="15" width="24.28515625" customWidth="1"/>
    <col min="16" max="16" width="19.28515625" customWidth="1"/>
    <col min="17" max="17" width="21.42578125" bestFit="1" customWidth="1"/>
    <col min="18" max="18" width="15.42578125" customWidth="1"/>
    <col min="19" max="19" width="17.7109375" customWidth="1"/>
    <col min="20" max="20" width="20.140625" customWidth="1"/>
    <col min="21" max="21" width="22.28515625" customWidth="1"/>
    <col min="22" max="22" width="20.42578125" customWidth="1"/>
    <col min="23" max="23" width="22.7109375" customWidth="1"/>
    <col min="24" max="24" width="20.42578125" customWidth="1"/>
    <col min="25" max="25" width="22.7109375" customWidth="1"/>
    <col min="26" max="26" width="18.85546875" customWidth="1"/>
    <col min="27" max="27" width="21" customWidth="1"/>
    <col min="28" max="28" width="17" customWidth="1"/>
    <col min="29" max="29" width="19.140625" customWidth="1"/>
    <col min="30" max="30" width="16.28515625" customWidth="1"/>
    <col min="31" max="31" width="18.42578125" customWidth="1"/>
    <col min="32" max="32" width="16.28515625" customWidth="1"/>
    <col min="33" max="33" width="18.42578125" customWidth="1"/>
    <col min="34" max="34" width="30.140625" customWidth="1"/>
    <col min="35" max="35" width="32.28515625" customWidth="1"/>
    <col min="36" max="36" width="19.140625" customWidth="1"/>
    <col min="37" max="37" width="21.28515625" customWidth="1"/>
    <col min="38" max="38" width="22.7109375" customWidth="1"/>
    <col min="39" max="39" width="24.85546875" customWidth="1"/>
    <col min="40" max="40" width="15.42578125" customWidth="1"/>
    <col min="41" max="41" width="17.7109375" customWidth="1"/>
    <col min="42" max="42" width="20.28515625" customWidth="1"/>
    <col min="43" max="43" width="22.42578125" customWidth="1"/>
    <col min="44" max="44" width="21.85546875" customWidth="1"/>
    <col min="45" max="45" width="24" customWidth="1"/>
    <col min="46" max="46" width="20.140625" customWidth="1"/>
    <col min="47" max="47" width="22.28515625" customWidth="1"/>
    <col min="48" max="48" width="24" bestFit="1" customWidth="1"/>
    <col min="49" max="49" width="26.140625" bestFit="1" customWidth="1"/>
    <col min="50" max="50" width="19.28515625" customWidth="1"/>
    <col min="51" max="51" width="21.42578125" customWidth="1"/>
    <col min="52" max="52" width="23.28515625" bestFit="1" customWidth="1"/>
    <col min="53" max="53" width="25.42578125" customWidth="1"/>
    <col min="54" max="54" width="21.42578125" customWidth="1"/>
    <col min="55" max="55" width="23.7109375" bestFit="1" customWidth="1"/>
    <col min="56" max="56" width="20.85546875" customWidth="1"/>
    <col min="57" max="57" width="23" customWidth="1"/>
    <col min="58" max="58" width="21.85546875" customWidth="1"/>
    <col min="59" max="59" width="24" customWidth="1"/>
    <col min="60" max="60" width="21.7109375" customWidth="1"/>
    <col min="61" max="61" width="23.85546875" customWidth="1"/>
    <col min="62" max="62" width="23.140625" customWidth="1"/>
    <col min="63" max="63" width="25.28515625" bestFit="1" customWidth="1"/>
    <col min="64" max="64" width="20" customWidth="1"/>
    <col min="65" max="65" width="22.140625" customWidth="1"/>
    <col min="66" max="66" width="23.28515625" customWidth="1"/>
    <col min="67" max="67" width="25.42578125" customWidth="1"/>
    <col min="68" max="68" width="21.42578125" customWidth="1"/>
    <col min="69" max="69" width="23.7109375" customWidth="1"/>
    <col min="70" max="70" width="20.85546875" customWidth="1"/>
    <col min="71" max="71" width="23" customWidth="1"/>
    <col min="72" max="72" width="23.28515625" customWidth="1"/>
    <col min="73" max="73" width="25.28515625" customWidth="1"/>
    <col min="74" max="74" width="23.28515625" customWidth="1"/>
    <col min="75" max="75" width="25.28515625" bestFit="1" customWidth="1"/>
    <col min="76" max="76" width="21.42578125" customWidth="1"/>
    <col min="77" max="77" width="23.7109375" customWidth="1"/>
    <col min="78" max="78" width="20.7109375" customWidth="1"/>
    <col min="79" max="79" width="22.85546875" customWidth="1"/>
    <col min="80" max="80" width="22.7109375" customWidth="1"/>
    <col min="81" max="81" width="24.85546875" customWidth="1"/>
    <col min="82" max="82" width="22.7109375" customWidth="1"/>
    <col min="83" max="83" width="24.85546875" customWidth="1"/>
    <col min="84" max="84" width="22.28515625" customWidth="1"/>
    <col min="85" max="85" width="24.28515625" customWidth="1"/>
    <col min="86" max="86" width="11.28515625" customWidth="1"/>
    <col min="87" max="87" width="23.7109375" customWidth="1"/>
    <col min="88" max="88" width="25.85546875" customWidth="1"/>
    <col min="89" max="89" width="19" customWidth="1"/>
    <col min="90" max="90" width="21.140625" customWidth="1"/>
    <col min="91" max="91" width="20.28515625" customWidth="1"/>
    <col min="92" max="92" width="22.42578125" customWidth="1"/>
    <col min="93" max="93" width="19.28515625" customWidth="1"/>
    <col min="94" max="94" width="21.42578125" customWidth="1"/>
    <col min="95" max="95" width="20.28515625" customWidth="1"/>
    <col min="96" max="96" width="22.42578125" customWidth="1"/>
    <col min="97" max="97" width="17.85546875" customWidth="1"/>
    <col min="98" max="98" width="20" customWidth="1"/>
    <col min="99" max="99" width="18.85546875" customWidth="1"/>
    <col min="100" max="100" width="21" customWidth="1"/>
    <col min="101" max="101" width="20.42578125" customWidth="1"/>
    <col min="102" max="102" width="22.7109375" customWidth="1"/>
    <col min="103" max="103" width="22.28515625" customWidth="1"/>
    <col min="104" max="104" width="24.42578125" customWidth="1"/>
    <col min="105" max="105" width="22.7109375" customWidth="1"/>
    <col min="106" max="106" width="24.85546875" customWidth="1"/>
    <col min="107" max="107" width="20.7109375" customWidth="1"/>
    <col min="108" max="108" width="22.85546875" customWidth="1"/>
    <col min="109" max="109" width="27" customWidth="1"/>
    <col min="110" max="110" width="29.140625" customWidth="1"/>
    <col min="111" max="111" width="22.28515625" bestFit="1" customWidth="1"/>
    <col min="112" max="112" width="24.42578125" customWidth="1"/>
    <col min="113" max="113" width="21.42578125" customWidth="1"/>
    <col min="114" max="114" width="23.7109375" bestFit="1" customWidth="1"/>
    <col min="115" max="115" width="21.42578125" customWidth="1"/>
    <col min="116" max="116" width="23.7109375" customWidth="1"/>
    <col min="117" max="117" width="17.28515625" customWidth="1"/>
    <col min="118" max="118" width="19.42578125" customWidth="1"/>
    <col min="119" max="119" width="17.28515625" customWidth="1"/>
    <col min="120" max="120" width="19.42578125" customWidth="1"/>
    <col min="121" max="121" width="22.140625" customWidth="1"/>
    <col min="122" max="122" width="24.28515625" customWidth="1"/>
    <col min="123" max="123" width="19.28515625" customWidth="1"/>
    <col min="124" max="124" width="21.42578125" customWidth="1"/>
    <col min="125" max="125" width="15.42578125" customWidth="1"/>
    <col min="126" max="126" width="17.7109375" customWidth="1"/>
    <col min="127" max="127" width="20.140625" customWidth="1"/>
    <col min="128" max="128" width="22.28515625" bestFit="1" customWidth="1"/>
    <col min="129" max="129" width="20.42578125" customWidth="1"/>
    <col min="130" max="130" width="22.7109375" bestFit="1" customWidth="1"/>
    <col min="131" max="131" width="20.42578125" customWidth="1"/>
    <col min="132" max="132" width="22.7109375" customWidth="1"/>
    <col min="133" max="133" width="18.85546875" customWidth="1"/>
    <col min="134" max="134" width="21" customWidth="1"/>
    <col min="135" max="135" width="17" customWidth="1"/>
    <col min="136" max="136" width="19.140625" customWidth="1"/>
    <col min="137" max="137" width="16.28515625" customWidth="1"/>
    <col min="138" max="138" width="18.42578125" customWidth="1"/>
    <col min="139" max="139" width="16.28515625" customWidth="1"/>
    <col min="140" max="140" width="18.42578125" customWidth="1"/>
    <col min="141" max="141" width="30.140625" bestFit="1" customWidth="1"/>
    <col min="142" max="142" width="32.28515625" customWidth="1"/>
    <col min="143" max="143" width="19.140625" customWidth="1"/>
    <col min="144" max="144" width="21.28515625" bestFit="1" customWidth="1"/>
    <col min="145" max="145" width="22.7109375" bestFit="1" customWidth="1"/>
    <col min="146" max="146" width="24.85546875" customWidth="1"/>
    <col min="147" max="147" width="15.42578125" customWidth="1"/>
    <col min="148" max="148" width="17.7109375" customWidth="1"/>
    <col min="149" max="149" width="20.28515625" customWidth="1"/>
    <col min="150" max="150" width="22.42578125" customWidth="1"/>
    <col min="151" max="151" width="21.85546875" customWidth="1"/>
    <col min="152" max="152" width="24" bestFit="1" customWidth="1"/>
    <col min="153" max="153" width="20.140625" customWidth="1"/>
    <col min="154" max="154" width="22.28515625" bestFit="1" customWidth="1"/>
    <col min="155" max="155" width="24" bestFit="1" customWidth="1"/>
    <col min="156" max="156" width="26.140625" customWidth="1"/>
    <col min="157" max="157" width="19.28515625" customWidth="1"/>
    <col min="158" max="158" width="21.42578125" customWidth="1"/>
    <col min="159" max="159" width="23.28515625" customWidth="1"/>
    <col min="160" max="160" width="25.42578125" bestFit="1" customWidth="1"/>
    <col min="161" max="161" width="21.42578125" customWidth="1"/>
    <col min="162" max="162" width="23.7109375" customWidth="1"/>
    <col min="163" max="163" width="20.85546875" customWidth="1"/>
    <col min="164" max="164" width="23" customWidth="1"/>
    <col min="165" max="165" width="21.85546875" bestFit="1" customWidth="1"/>
    <col min="166" max="166" width="24" customWidth="1"/>
    <col min="167" max="167" width="21.7109375" bestFit="1" customWidth="1"/>
    <col min="168" max="168" width="23.85546875" customWidth="1"/>
    <col min="169" max="169" width="23.140625" bestFit="1" customWidth="1"/>
    <col min="170" max="170" width="25.28515625" customWidth="1"/>
    <col min="171" max="171" width="20" customWidth="1"/>
    <col min="172" max="172" width="22.140625" customWidth="1"/>
    <col min="173" max="173" width="23.28515625" customWidth="1"/>
    <col min="174" max="174" width="25.42578125" bestFit="1" customWidth="1"/>
    <col min="175" max="175" width="21.42578125" customWidth="1"/>
    <col min="176" max="176" width="23.7109375" customWidth="1"/>
    <col min="177" max="177" width="20.85546875" bestFit="1" customWidth="1"/>
    <col min="178" max="178" width="23" bestFit="1" customWidth="1"/>
    <col min="179" max="179" width="23.28515625" bestFit="1" customWidth="1"/>
    <col min="180" max="180" width="25.28515625" bestFit="1" customWidth="1"/>
    <col min="181" max="181" width="23.28515625" customWidth="1"/>
    <col min="182" max="182" width="25.28515625" bestFit="1" customWidth="1"/>
    <col min="183" max="183" width="21.42578125" customWidth="1"/>
    <col min="184" max="184" width="23.7109375" bestFit="1" customWidth="1"/>
    <col min="185" max="185" width="20.7109375" customWidth="1"/>
    <col min="186" max="186" width="22.85546875" customWidth="1"/>
    <col min="187" max="187" width="22.7109375" customWidth="1"/>
    <col min="188" max="188" width="24.85546875" bestFit="1" customWidth="1"/>
    <col min="189" max="189" width="22.7109375" customWidth="1"/>
    <col min="190" max="190" width="24.85546875" bestFit="1" customWidth="1"/>
    <col min="191" max="191" width="22.28515625" bestFit="1" customWidth="1"/>
    <col min="192" max="192" width="24.28515625" bestFit="1" customWidth="1"/>
    <col min="193" max="193" width="7.28515625" customWidth="1"/>
    <col min="194" max="194" width="23.7109375" bestFit="1" customWidth="1"/>
    <col min="195" max="195" width="25.85546875" bestFit="1" customWidth="1"/>
    <col min="196" max="196" width="19" bestFit="1" customWidth="1"/>
    <col min="197" max="197" width="21.140625" bestFit="1" customWidth="1"/>
    <col min="198" max="198" width="20.28515625" customWidth="1"/>
    <col min="199" max="199" width="22.42578125" customWidth="1"/>
    <col min="200" max="200" width="19.28515625" customWidth="1"/>
    <col min="201" max="201" width="21.42578125" customWidth="1"/>
    <col min="202" max="202" width="20.28515625" bestFit="1" customWidth="1"/>
    <col min="203" max="203" width="22.42578125" bestFit="1" customWidth="1"/>
    <col min="204" max="204" width="17.85546875" customWidth="1"/>
    <col min="205" max="205" width="20" customWidth="1"/>
    <col min="206" max="206" width="18.85546875" customWidth="1"/>
    <col min="207" max="207" width="21" bestFit="1" customWidth="1"/>
    <col min="208" max="208" width="20.42578125" customWidth="1"/>
    <col min="209" max="209" width="22.7109375" customWidth="1"/>
    <col min="210" max="210" width="22.28515625" customWidth="1"/>
    <col min="211" max="211" width="24.42578125" customWidth="1"/>
    <col min="212" max="212" width="22.7109375" bestFit="1" customWidth="1"/>
    <col min="213" max="213" width="24.85546875" bestFit="1" customWidth="1"/>
    <col min="214" max="214" width="20.7109375" bestFit="1" customWidth="1"/>
    <col min="215" max="215" width="22.85546875" bestFit="1" customWidth="1"/>
    <col min="216" max="216" width="27" customWidth="1"/>
    <col min="217" max="217" width="29.140625" bestFit="1" customWidth="1"/>
    <col min="218" max="218" width="22.28515625" customWidth="1"/>
    <col min="219" max="219" width="24.42578125" customWidth="1"/>
    <col min="220" max="220" width="21.42578125" bestFit="1" customWidth="1"/>
    <col min="221" max="221" width="23.7109375" bestFit="1" customWidth="1"/>
    <col min="222" max="222" width="21.42578125" bestFit="1" customWidth="1"/>
    <col min="223" max="223" width="23.7109375" bestFit="1" customWidth="1"/>
    <col min="224" max="224" width="17.28515625" customWidth="1"/>
    <col min="225" max="225" width="19.42578125" customWidth="1"/>
    <col min="226" max="226" width="17.28515625" customWidth="1"/>
    <col min="227" max="227" width="19.42578125" customWidth="1"/>
    <col min="228" max="228" width="22.140625" customWidth="1"/>
    <col min="229" max="229" width="24.28515625" bestFit="1" customWidth="1"/>
    <col min="230" max="230" width="19.28515625" customWidth="1"/>
    <col min="231" max="231" width="21.42578125" customWidth="1"/>
    <col min="232" max="232" width="15.42578125" customWidth="1"/>
    <col min="233" max="233" width="17.7109375" customWidth="1"/>
    <col min="234" max="234" width="20.140625" customWidth="1"/>
    <col min="235" max="235" width="22.28515625" customWidth="1"/>
    <col min="236" max="236" width="20.42578125" customWidth="1"/>
    <col min="237" max="237" width="22.7109375" customWidth="1"/>
    <col min="238" max="238" width="20.42578125" customWidth="1"/>
    <col min="239" max="239" width="22.7109375" customWidth="1"/>
    <col min="240" max="240" width="18.85546875" customWidth="1"/>
    <col min="241" max="241" width="21" customWidth="1"/>
    <col min="242" max="242" width="17" customWidth="1"/>
    <col min="243" max="243" width="19.140625" customWidth="1"/>
    <col min="244" max="244" width="16.28515625" customWidth="1"/>
    <col min="245" max="245" width="18.42578125" customWidth="1"/>
    <col min="246" max="246" width="16.28515625" customWidth="1"/>
    <col min="247" max="247" width="18.42578125" customWidth="1"/>
    <col min="248" max="248" width="30.140625" bestFit="1" customWidth="1"/>
    <col min="249" max="249" width="32.28515625" bestFit="1" customWidth="1"/>
    <col min="250" max="250" width="19.140625" customWidth="1"/>
    <col min="251" max="251" width="21.28515625" customWidth="1"/>
    <col min="252" max="252" width="22.7109375" bestFit="1" customWidth="1"/>
    <col min="253" max="253" width="24.85546875" bestFit="1" customWidth="1"/>
    <col min="254" max="254" width="15.42578125" customWidth="1"/>
    <col min="255" max="255" width="17.7109375" customWidth="1"/>
    <col min="256" max="256" width="20.28515625" customWidth="1"/>
  </cols>
  <sheetData>
    <row r="1" spans="1:16" ht="15.75" customHeight="1" x14ac:dyDescent="0.25">
      <c r="B1" s="703"/>
      <c r="C1" s="704"/>
      <c r="D1" s="705"/>
      <c r="E1" s="787" t="s">
        <v>228</v>
      </c>
      <c r="F1" s="785"/>
      <c r="G1" s="785"/>
      <c r="H1" s="785"/>
      <c r="I1" s="786"/>
      <c r="J1" s="644" t="s">
        <v>17</v>
      </c>
      <c r="K1" s="645"/>
      <c r="L1" s="646"/>
      <c r="M1" s="123" t="s">
        <v>15</v>
      </c>
      <c r="N1" s="31">
        <f>'Doors order'!N1</f>
        <v>1</v>
      </c>
      <c r="O1" s="32"/>
    </row>
    <row r="2" spans="1:16" ht="15" customHeight="1" x14ac:dyDescent="0.25">
      <c r="B2" s="706"/>
      <c r="C2" s="707"/>
      <c r="D2" s="708"/>
      <c r="E2" s="788"/>
      <c r="F2" s="789"/>
      <c r="G2" s="789"/>
      <c r="H2" s="789"/>
      <c r="I2" s="790"/>
      <c r="J2" s="712" t="s">
        <v>77</v>
      </c>
      <c r="K2" s="688" t="str">
        <f>IF('Doors order'!K2="","",'Doors order'!K2)</f>
        <v/>
      </c>
      <c r="L2" s="689"/>
      <c r="M2" s="124" t="s">
        <v>12</v>
      </c>
      <c r="N2" s="92">
        <f>'Doors order'!N2</f>
        <v>44041</v>
      </c>
      <c r="O2" s="32"/>
    </row>
    <row r="3" spans="1:16" ht="15" customHeight="1" x14ac:dyDescent="0.25">
      <c r="B3" s="706"/>
      <c r="C3" s="707"/>
      <c r="D3" s="708"/>
      <c r="E3" s="788"/>
      <c r="F3" s="789"/>
      <c r="G3" s="789"/>
      <c r="H3" s="789"/>
      <c r="I3" s="790"/>
      <c r="J3" s="712"/>
      <c r="K3" s="688"/>
      <c r="L3" s="689"/>
      <c r="M3" s="124" t="s">
        <v>14</v>
      </c>
      <c r="N3" s="93">
        <f>'Doors order'!N3</f>
        <v>3</v>
      </c>
      <c r="O3" s="32"/>
    </row>
    <row r="4" spans="1:16" ht="15" customHeight="1" x14ac:dyDescent="0.25">
      <c r="B4" s="706"/>
      <c r="C4" s="707"/>
      <c r="D4" s="708"/>
      <c r="E4" s="788"/>
      <c r="F4" s="789"/>
      <c r="G4" s="789"/>
      <c r="H4" s="789"/>
      <c r="I4" s="790"/>
      <c r="J4" s="713" t="s">
        <v>102</v>
      </c>
      <c r="K4" s="715">
        <f>IF('Doors order'!K4="","",'Doors order'!K4)</f>
        <v>10</v>
      </c>
      <c r="L4" s="716"/>
      <c r="M4" s="124" t="s">
        <v>220</v>
      </c>
      <c r="N4" s="93" t="str">
        <f>'Doors order'!N4</f>
        <v>MS</v>
      </c>
      <c r="O4" s="32"/>
    </row>
    <row r="5" spans="1:16" ht="15.75" customHeight="1" thickBot="1" x14ac:dyDescent="0.3">
      <c r="B5" s="709"/>
      <c r="C5" s="710"/>
      <c r="D5" s="711"/>
      <c r="E5" s="791"/>
      <c r="F5" s="792"/>
      <c r="G5" s="792"/>
      <c r="H5" s="792"/>
      <c r="I5" s="793"/>
      <c r="J5" s="714"/>
      <c r="K5" s="715"/>
      <c r="L5" s="716"/>
      <c r="M5" s="125" t="s">
        <v>229</v>
      </c>
      <c r="N5" s="95" t="str">
        <f>'Doors order'!N5</f>
        <v>MR</v>
      </c>
      <c r="O5" s="32"/>
    </row>
    <row r="6" spans="1:16" ht="15" customHeight="1" x14ac:dyDescent="0.25">
      <c r="B6" s="665" t="s">
        <v>0</v>
      </c>
      <c r="C6" s="653"/>
      <c r="D6" s="641"/>
      <c r="E6" s="640" t="s">
        <v>1</v>
      </c>
      <c r="F6" s="653"/>
      <c r="G6" s="641"/>
      <c r="H6" s="640" t="s">
        <v>2</v>
      </c>
      <c r="I6" s="785"/>
      <c r="J6" s="786"/>
      <c r="K6" s="640" t="s">
        <v>18</v>
      </c>
      <c r="L6" s="641"/>
      <c r="M6" s="727" t="s">
        <v>230</v>
      </c>
      <c r="N6" s="728"/>
      <c r="O6" s="32"/>
    </row>
    <row r="7" spans="1:16" ht="23.1" customHeight="1" thickBot="1" x14ac:dyDescent="0.3">
      <c r="B7" s="778" t="str">
        <f>IF('Doors order'!A7="","",'Doors order'!A7)</f>
        <v/>
      </c>
      <c r="C7" s="700"/>
      <c r="D7" s="701"/>
      <c r="E7" s="697" t="str">
        <f>IF('Doors order'!E7="","",'Doors order'!E7)</f>
        <v/>
      </c>
      <c r="F7" s="779"/>
      <c r="G7" s="698"/>
      <c r="H7" s="780" t="str">
        <f>IF('Doors order'!H7="","",'Doors order'!H7)</f>
        <v/>
      </c>
      <c r="I7" s="781"/>
      <c r="J7" s="782"/>
      <c r="K7" s="606"/>
      <c r="L7" s="607"/>
      <c r="M7" s="783"/>
      <c r="N7" s="784"/>
      <c r="O7" s="32"/>
    </row>
    <row r="8" spans="1:16" s="32" customFormat="1" ht="6" customHeight="1" thickBot="1" x14ac:dyDescent="0.3">
      <c r="B8" s="28"/>
      <c r="C8" s="28"/>
      <c r="D8" s="28"/>
      <c r="E8" s="27"/>
      <c r="F8" s="27"/>
      <c r="G8" s="28"/>
      <c r="H8" s="28"/>
      <c r="I8" s="28"/>
      <c r="J8" s="28"/>
      <c r="K8" s="25"/>
      <c r="L8" s="25"/>
      <c r="M8" s="126"/>
      <c r="N8" s="25"/>
    </row>
    <row r="9" spans="1:16" ht="23.1" customHeight="1" x14ac:dyDescent="0.25">
      <c r="B9" s="798" t="s">
        <v>22</v>
      </c>
      <c r="C9" s="799"/>
      <c r="D9" s="799"/>
      <c r="E9" s="799"/>
      <c r="F9" s="799"/>
      <c r="G9" s="800"/>
      <c r="H9" s="114" t="s">
        <v>231</v>
      </c>
      <c r="I9" s="115" t="s">
        <v>296</v>
      </c>
      <c r="J9" s="115" t="s">
        <v>297</v>
      </c>
      <c r="K9" s="566" t="s">
        <v>232</v>
      </c>
      <c r="L9" s="794" t="s">
        <v>224</v>
      </c>
      <c r="M9" s="795"/>
      <c r="N9" s="567" t="s">
        <v>59</v>
      </c>
      <c r="O9" s="32"/>
    </row>
    <row r="10" spans="1:16" s="12" customFormat="1" ht="23.1" customHeight="1" x14ac:dyDescent="0.25">
      <c r="A10" s="32"/>
      <c r="B10" s="777"/>
      <c r="C10" s="734"/>
      <c r="D10" s="734"/>
      <c r="E10" s="734"/>
      <c r="F10" s="734"/>
      <c r="G10" s="734"/>
      <c r="H10" s="582"/>
      <c r="I10" s="583"/>
      <c r="J10" s="584" t="str">
        <f>IF(I10="","",IF(H10="roll",(VLOOKUP(B10,BDD!Y:AD,4,0))*I10,I10))</f>
        <v/>
      </c>
      <c r="K10" s="585" t="str">
        <f>IF(J10="","",IF(H10="roll",VLOOKUP(B10,BDD!Y:AD,2,0),VLOOKUP(B10,BDD!Y:AD,3,0)))</f>
        <v/>
      </c>
      <c r="L10" s="796" t="str">
        <f>IF(J10="","",IF(VLOOKUP(B10,BDD!Y:AD,5,0)="luxe",$N$44,$N$45))</f>
        <v/>
      </c>
      <c r="M10" s="797"/>
      <c r="N10" s="565" t="str">
        <f t="shared" ref="N10:N39" si="0">IF(L10="","",J10*K10*(1-L10))</f>
        <v/>
      </c>
      <c r="O10" s="170"/>
      <c r="P10" s="91"/>
    </row>
    <row r="11" spans="1:16" ht="23.1" customHeight="1" x14ac:dyDescent="0.25">
      <c r="B11" s="777"/>
      <c r="C11" s="734"/>
      <c r="D11" s="734"/>
      <c r="E11" s="734"/>
      <c r="F11" s="734"/>
      <c r="G11" s="734"/>
      <c r="H11" s="582"/>
      <c r="I11" s="583"/>
      <c r="J11" s="584" t="str">
        <f>IF(I11="","",IF(H11="roll",(VLOOKUP(B11,BDD!Y:AD,4,0))*I11,I11))</f>
        <v/>
      </c>
      <c r="K11" s="585" t="str">
        <f>IF(J11="","",IF(H11="roll",VLOOKUP(B11,BDD!Y:AD,2,0),VLOOKUP(B11,BDD!Y:AD,3,0)))</f>
        <v/>
      </c>
      <c r="L11" s="796" t="str">
        <f>IF(J11="","",IF(VLOOKUP(B11,BDD!Y:AD,5,0)="luxe",$N$44,$N$45))</f>
        <v/>
      </c>
      <c r="M11" s="797"/>
      <c r="N11" s="565" t="str">
        <f t="shared" si="0"/>
        <v/>
      </c>
      <c r="O11" s="150"/>
      <c r="P11" s="32"/>
    </row>
    <row r="12" spans="1:16" ht="23.1" customHeight="1" x14ac:dyDescent="0.25">
      <c r="B12" s="777"/>
      <c r="C12" s="734"/>
      <c r="D12" s="734"/>
      <c r="E12" s="734"/>
      <c r="F12" s="734"/>
      <c r="G12" s="734"/>
      <c r="H12" s="582"/>
      <c r="I12" s="583"/>
      <c r="J12" s="584" t="str">
        <f>IF(I12="","",IF(H12="roll",(VLOOKUP(B12,BDD!Y:AD,4,0))*I12,I12))</f>
        <v/>
      </c>
      <c r="K12" s="585" t="str">
        <f>IF(J12="","",IF(H12="roll",VLOOKUP(B12,BDD!Y:AD,2,0),VLOOKUP(B12,BDD!Y:AD,3,0)))</f>
        <v/>
      </c>
      <c r="L12" s="796" t="str">
        <f>IF(J12="","",IF(VLOOKUP(B12,BDD!Y:AD,5,0)="luxe",$N$44,$N$45))</f>
        <v/>
      </c>
      <c r="M12" s="797"/>
      <c r="N12" s="565" t="str">
        <f t="shared" si="0"/>
        <v/>
      </c>
      <c r="O12" s="150"/>
      <c r="P12" s="32"/>
    </row>
    <row r="13" spans="1:16" ht="23.1" customHeight="1" x14ac:dyDescent="0.25">
      <c r="B13" s="777"/>
      <c r="C13" s="734"/>
      <c r="D13" s="734"/>
      <c r="E13" s="734"/>
      <c r="F13" s="734"/>
      <c r="G13" s="734"/>
      <c r="H13" s="582"/>
      <c r="I13" s="583"/>
      <c r="J13" s="584" t="str">
        <f>IF(I13="","",IF(H13="roll",(VLOOKUP(B13,BDD!Y:AD,4,0))*I13,I13))</f>
        <v/>
      </c>
      <c r="K13" s="585" t="str">
        <f>IF(J13="","",IF(H13="roll",VLOOKUP(B13,BDD!Y:AD,2,0),VLOOKUP(B13,BDD!Y:AD,3,0)))</f>
        <v/>
      </c>
      <c r="L13" s="796" t="str">
        <f>IF(J13="","",IF(VLOOKUP(B13,BDD!Y:AD,5,0)="luxe",$N$44,$N$45))</f>
        <v/>
      </c>
      <c r="M13" s="797"/>
      <c r="N13" s="565" t="str">
        <f t="shared" si="0"/>
        <v/>
      </c>
      <c r="O13" s="150"/>
      <c r="P13" s="32"/>
    </row>
    <row r="14" spans="1:16" ht="23.1" customHeight="1" x14ac:dyDescent="0.25">
      <c r="B14" s="777"/>
      <c r="C14" s="734"/>
      <c r="D14" s="734"/>
      <c r="E14" s="734"/>
      <c r="F14" s="734"/>
      <c r="G14" s="734"/>
      <c r="H14" s="582"/>
      <c r="I14" s="583"/>
      <c r="J14" s="584" t="str">
        <f>IF(I14="","",IF(H14="roll",(VLOOKUP(B14,BDD!Y:AD,4,0))*I14,I14))</f>
        <v/>
      </c>
      <c r="K14" s="585" t="str">
        <f>IF(J14="","",IF(H14="roll",VLOOKUP(B14,BDD!Y:AD,2,0),VLOOKUP(B14,BDD!Y:AD,3,0)))</f>
        <v/>
      </c>
      <c r="L14" s="796" t="str">
        <f>IF(J14="","",IF(VLOOKUP(B14,BDD!Y:AD,5,0)="luxe",$N$44,$N$45))</f>
        <v/>
      </c>
      <c r="M14" s="797"/>
      <c r="N14" s="565" t="str">
        <f t="shared" si="0"/>
        <v/>
      </c>
      <c r="O14" s="32"/>
      <c r="P14" s="32"/>
    </row>
    <row r="15" spans="1:16" ht="23.1" customHeight="1" x14ac:dyDescent="0.25">
      <c r="B15" s="777"/>
      <c r="C15" s="734"/>
      <c r="D15" s="734"/>
      <c r="E15" s="734"/>
      <c r="F15" s="734"/>
      <c r="G15" s="734"/>
      <c r="H15" s="582"/>
      <c r="I15" s="583"/>
      <c r="J15" s="584" t="str">
        <f>IF(I15="","",IF(H15="roll",(VLOOKUP(B15,BDD!Y:AD,4,0))*I15,I15))</f>
        <v/>
      </c>
      <c r="K15" s="585" t="str">
        <f>IF(J15="","",IF(H15="roll",VLOOKUP(B15,BDD!Y:AD,2,0),VLOOKUP(B15,BDD!Y:AD,3,0)))</f>
        <v/>
      </c>
      <c r="L15" s="796" t="str">
        <f>IF(J15="","",IF(VLOOKUP(B15,BDD!Y:AD,5,0)="luxe",$N$44,$N$45))</f>
        <v/>
      </c>
      <c r="M15" s="797"/>
      <c r="N15" s="565" t="str">
        <f t="shared" si="0"/>
        <v/>
      </c>
      <c r="O15" s="32"/>
      <c r="P15" s="32"/>
    </row>
    <row r="16" spans="1:16" ht="23.1" customHeight="1" x14ac:dyDescent="0.25">
      <c r="B16" s="777"/>
      <c r="C16" s="734"/>
      <c r="D16" s="734"/>
      <c r="E16" s="734"/>
      <c r="F16" s="734"/>
      <c r="G16" s="734"/>
      <c r="H16" s="582"/>
      <c r="I16" s="583"/>
      <c r="J16" s="584" t="str">
        <f>IF(I16="","",IF(H16="roll",(VLOOKUP(B16,BDD!Y:AD,4,0))*I16,I16))</f>
        <v/>
      </c>
      <c r="K16" s="585" t="str">
        <f>IF(J16="","",IF(H16="roll",VLOOKUP(B16,BDD!Y:AD,2,0),VLOOKUP(B16,BDD!Y:AD,3,0)))</f>
        <v/>
      </c>
      <c r="L16" s="796" t="str">
        <f>IF(J16="","",IF(VLOOKUP(B16,BDD!Y:AD,5,0)="luxe",$N$44,$N$45))</f>
        <v/>
      </c>
      <c r="M16" s="797"/>
      <c r="N16" s="565" t="str">
        <f t="shared" si="0"/>
        <v/>
      </c>
      <c r="O16" s="32"/>
      <c r="P16" s="32"/>
    </row>
    <row r="17" spans="2:16" ht="23.1" customHeight="1" x14ac:dyDescent="0.25">
      <c r="B17" s="777"/>
      <c r="C17" s="734"/>
      <c r="D17" s="734"/>
      <c r="E17" s="734"/>
      <c r="F17" s="734"/>
      <c r="G17" s="734"/>
      <c r="H17" s="582"/>
      <c r="I17" s="583"/>
      <c r="J17" s="584" t="str">
        <f>IF(I17="","",IF(H17="roll",(VLOOKUP(B17,BDD!Y:AD,4,0))*I17,I17))</f>
        <v/>
      </c>
      <c r="K17" s="585" t="str">
        <f>IF(J17="","",IF(H17="roll",VLOOKUP(B17,BDD!Y:AD,2,0),VLOOKUP(B17,BDD!Y:AD,3,0)))</f>
        <v/>
      </c>
      <c r="L17" s="796" t="str">
        <f>IF(J17="","",IF(VLOOKUP(B17,BDD!Y:AD,5,0)="luxe",$N$44,$N$45))</f>
        <v/>
      </c>
      <c r="M17" s="797"/>
      <c r="N17" s="565" t="str">
        <f t="shared" si="0"/>
        <v/>
      </c>
      <c r="O17" s="32"/>
      <c r="P17" s="32"/>
    </row>
    <row r="18" spans="2:16" ht="23.1" customHeight="1" x14ac:dyDescent="0.25">
      <c r="B18" s="777"/>
      <c r="C18" s="734"/>
      <c r="D18" s="734"/>
      <c r="E18" s="734"/>
      <c r="F18" s="734"/>
      <c r="G18" s="734"/>
      <c r="H18" s="582"/>
      <c r="I18" s="583"/>
      <c r="J18" s="584" t="str">
        <f>IF(I18="","",IF(H18="roll",(VLOOKUP(B18,BDD!Y:AD,4,0))*I18,I18))</f>
        <v/>
      </c>
      <c r="K18" s="585" t="str">
        <f>IF(J18="","",IF(H18="roll",VLOOKUP(B18,BDD!Y:AD,2,0),VLOOKUP(B18,BDD!Y:AD,3,0)))</f>
        <v/>
      </c>
      <c r="L18" s="796" t="str">
        <f>IF(J18="","",IF(VLOOKUP(B18,BDD!Y:AD,5,0)="luxe",$N$44,$N$45))</f>
        <v/>
      </c>
      <c r="M18" s="797"/>
      <c r="N18" s="565" t="str">
        <f t="shared" si="0"/>
        <v/>
      </c>
      <c r="O18" s="32"/>
      <c r="P18" s="32"/>
    </row>
    <row r="19" spans="2:16" ht="23.1" customHeight="1" x14ac:dyDescent="0.25">
      <c r="B19" s="777"/>
      <c r="C19" s="734"/>
      <c r="D19" s="734"/>
      <c r="E19" s="734"/>
      <c r="F19" s="734"/>
      <c r="G19" s="734"/>
      <c r="H19" s="582"/>
      <c r="I19" s="583"/>
      <c r="J19" s="584" t="str">
        <f>IF(I19="","",IF(H19="roll",(VLOOKUP(B19,BDD!Y:AD,4,0))*I19,I19))</f>
        <v/>
      </c>
      <c r="K19" s="585" t="str">
        <f>IF(J19="","",IF(H19="roll",VLOOKUP(B19,BDD!Y:AD,2,0),VLOOKUP(B19,BDD!Y:AD,3,0)))</f>
        <v/>
      </c>
      <c r="L19" s="796" t="str">
        <f>IF(J19="","",IF(VLOOKUP(B19,BDD!Y:AD,5,0)="luxe",$N$44,$N$45))</f>
        <v/>
      </c>
      <c r="M19" s="797"/>
      <c r="N19" s="565" t="str">
        <f t="shared" si="0"/>
        <v/>
      </c>
      <c r="O19" s="32"/>
      <c r="P19" s="32"/>
    </row>
    <row r="20" spans="2:16" ht="23.1" customHeight="1" x14ac:dyDescent="0.25">
      <c r="B20" s="777"/>
      <c r="C20" s="734"/>
      <c r="D20" s="734"/>
      <c r="E20" s="734"/>
      <c r="F20" s="734"/>
      <c r="G20" s="734"/>
      <c r="H20" s="582"/>
      <c r="I20" s="583"/>
      <c r="J20" s="584" t="str">
        <f>IF(I20="","",IF(H20="roll",(VLOOKUP(B20,BDD!Y:AD,4,0))*I20,I20))</f>
        <v/>
      </c>
      <c r="K20" s="585" t="str">
        <f>IF(J20="","",IF(H20="roll",VLOOKUP(B20,BDD!Y:AD,2,0),VLOOKUP(B20,BDD!Y:AD,3,0)))</f>
        <v/>
      </c>
      <c r="L20" s="796" t="str">
        <f>IF(J20="","",IF(VLOOKUP(B20,BDD!Y:AD,5,0)="luxe",$N$44,$N$45))</f>
        <v/>
      </c>
      <c r="M20" s="797"/>
      <c r="N20" s="565" t="str">
        <f t="shared" si="0"/>
        <v/>
      </c>
      <c r="O20" s="32"/>
      <c r="P20" s="32"/>
    </row>
    <row r="21" spans="2:16" ht="23.1" customHeight="1" x14ac:dyDescent="0.25">
      <c r="B21" s="777"/>
      <c r="C21" s="734"/>
      <c r="D21" s="734"/>
      <c r="E21" s="734"/>
      <c r="F21" s="734"/>
      <c r="G21" s="734"/>
      <c r="H21" s="582"/>
      <c r="I21" s="583"/>
      <c r="J21" s="584" t="str">
        <f>IF(I21="","",IF(H21="roll",(VLOOKUP(B21,BDD!Y:AD,4,0))*I21,I21))</f>
        <v/>
      </c>
      <c r="K21" s="585" t="str">
        <f>IF(J21="","",IF(H21="roll",VLOOKUP(B21,BDD!Y:AD,2,0),VLOOKUP(B21,BDD!Y:AD,3,0)))</f>
        <v/>
      </c>
      <c r="L21" s="796" t="str">
        <f>IF(J21="","",IF(VLOOKUP(B21,BDD!Y:AD,5,0)="luxe",$N$44,$N$45))</f>
        <v/>
      </c>
      <c r="M21" s="797"/>
      <c r="N21" s="565" t="str">
        <f t="shared" si="0"/>
        <v/>
      </c>
      <c r="O21" s="32"/>
      <c r="P21" s="32"/>
    </row>
    <row r="22" spans="2:16" ht="23.1" customHeight="1" x14ac:dyDescent="0.25">
      <c r="B22" s="777"/>
      <c r="C22" s="734"/>
      <c r="D22" s="734"/>
      <c r="E22" s="734"/>
      <c r="F22" s="734"/>
      <c r="G22" s="734"/>
      <c r="H22" s="582"/>
      <c r="I22" s="583"/>
      <c r="J22" s="584" t="str">
        <f>IF(I22="","",IF(H22="roll",(VLOOKUP(B22,BDD!Y:AD,4,0))*I22,I22))</f>
        <v/>
      </c>
      <c r="K22" s="585" t="str">
        <f>IF(J22="","",IF(H22="roll",VLOOKUP(B22,BDD!Y:AD,2,0),VLOOKUP(B22,BDD!Y:AD,3,0)))</f>
        <v/>
      </c>
      <c r="L22" s="796" t="str">
        <f>IF(J22="","",IF(VLOOKUP(B22,BDD!Y:AD,5,0)="luxe",$N$44,$N$45))</f>
        <v/>
      </c>
      <c r="M22" s="797"/>
      <c r="N22" s="565" t="str">
        <f t="shared" si="0"/>
        <v/>
      </c>
      <c r="O22" s="32"/>
      <c r="P22" s="32"/>
    </row>
    <row r="23" spans="2:16" ht="23.1" customHeight="1" x14ac:dyDescent="0.25">
      <c r="B23" s="777"/>
      <c r="C23" s="734"/>
      <c r="D23" s="734"/>
      <c r="E23" s="734"/>
      <c r="F23" s="734"/>
      <c r="G23" s="734"/>
      <c r="H23" s="582"/>
      <c r="I23" s="583"/>
      <c r="J23" s="584" t="str">
        <f>IF(I23="","",IF(H23="roll",(VLOOKUP(B23,BDD!Y:AD,4,0))*I23,I23))</f>
        <v/>
      </c>
      <c r="K23" s="585" t="str">
        <f>IF(J23="","",IF(H23="roll",VLOOKUP(B23,BDD!Y:AD,2,0),VLOOKUP(B23,BDD!Y:AD,3,0)))</f>
        <v/>
      </c>
      <c r="L23" s="796" t="str">
        <f>IF(J23="","",IF(VLOOKUP(B23,BDD!Y:AD,5,0)="luxe",$N$44,$N$45))</f>
        <v/>
      </c>
      <c r="M23" s="797"/>
      <c r="N23" s="565" t="str">
        <f t="shared" si="0"/>
        <v/>
      </c>
      <c r="O23" s="32"/>
      <c r="P23" s="32"/>
    </row>
    <row r="24" spans="2:16" ht="23.1" customHeight="1" x14ac:dyDescent="0.25">
      <c r="B24" s="777"/>
      <c r="C24" s="734"/>
      <c r="D24" s="734"/>
      <c r="E24" s="734"/>
      <c r="F24" s="734"/>
      <c r="G24" s="734"/>
      <c r="H24" s="582"/>
      <c r="I24" s="583"/>
      <c r="J24" s="584" t="str">
        <f>IF(I24="","",IF(H24="roll",(VLOOKUP(B24,BDD!Y:AD,4,0))*I24,I24))</f>
        <v/>
      </c>
      <c r="K24" s="585" t="str">
        <f>IF(J24="","",IF(H24="roll",VLOOKUP(B24,BDD!Y:AD,2,0),VLOOKUP(B24,BDD!Y:AD,3,0)))</f>
        <v/>
      </c>
      <c r="L24" s="796" t="str">
        <f>IF(J24="","",IF(VLOOKUP(B24,BDD!Y:AD,5,0)="luxe",$N$44,$N$45))</f>
        <v/>
      </c>
      <c r="M24" s="797"/>
      <c r="N24" s="565" t="str">
        <f t="shared" si="0"/>
        <v/>
      </c>
      <c r="O24" s="32"/>
      <c r="P24" s="32"/>
    </row>
    <row r="25" spans="2:16" ht="23.1" customHeight="1" x14ac:dyDescent="0.25">
      <c r="B25" s="777"/>
      <c r="C25" s="734"/>
      <c r="D25" s="734"/>
      <c r="E25" s="734"/>
      <c r="F25" s="734"/>
      <c r="G25" s="734"/>
      <c r="H25" s="582"/>
      <c r="I25" s="583"/>
      <c r="J25" s="584" t="str">
        <f>IF(I25="","",IF(H25="roll",(VLOOKUP(B25,BDD!Y:AD,4,0))*I25,I25))</f>
        <v/>
      </c>
      <c r="K25" s="585" t="str">
        <f>IF(J25="","",IF(H25="roll",VLOOKUP(B25,BDD!Y:AD,2,0),VLOOKUP(B25,BDD!Y:AD,3,0)))</f>
        <v/>
      </c>
      <c r="L25" s="796" t="str">
        <f>IF(J25="","",IF(VLOOKUP(B25,BDD!Y:AD,5,0)="luxe",$N$44,$N$45))</f>
        <v/>
      </c>
      <c r="M25" s="797"/>
      <c r="N25" s="565" t="str">
        <f t="shared" si="0"/>
        <v/>
      </c>
      <c r="O25" s="32"/>
      <c r="P25" s="32"/>
    </row>
    <row r="26" spans="2:16" ht="23.1" customHeight="1" x14ac:dyDescent="0.25">
      <c r="B26" s="777"/>
      <c r="C26" s="734"/>
      <c r="D26" s="734"/>
      <c r="E26" s="734"/>
      <c r="F26" s="734"/>
      <c r="G26" s="734"/>
      <c r="H26" s="582"/>
      <c r="I26" s="583"/>
      <c r="J26" s="584" t="str">
        <f>IF(I26="","",IF(H26="roll",(VLOOKUP(B26,BDD!Y:AD,4,0))*I26,I26))</f>
        <v/>
      </c>
      <c r="K26" s="585" t="str">
        <f>IF(J26="","",IF(H26="roll",VLOOKUP(B26,BDD!Y:AD,2,0),VLOOKUP(B26,BDD!Y:AD,3,0)))</f>
        <v/>
      </c>
      <c r="L26" s="796" t="str">
        <f>IF(J26="","",IF(VLOOKUP(B26,BDD!Y:AD,5,0)="luxe",$N$44,$N$45))</f>
        <v/>
      </c>
      <c r="M26" s="797"/>
      <c r="N26" s="565" t="str">
        <f t="shared" si="0"/>
        <v/>
      </c>
      <c r="O26" s="32"/>
      <c r="P26" s="32"/>
    </row>
    <row r="27" spans="2:16" ht="23.1" customHeight="1" x14ac:dyDescent="0.25">
      <c r="B27" s="777"/>
      <c r="C27" s="734"/>
      <c r="D27" s="734"/>
      <c r="E27" s="734"/>
      <c r="F27" s="734"/>
      <c r="G27" s="734"/>
      <c r="H27" s="582"/>
      <c r="I27" s="583"/>
      <c r="J27" s="584" t="str">
        <f>IF(I27="","",IF(H27="roll",(VLOOKUP(B27,BDD!Y:AD,4,0))*I27,I27))</f>
        <v/>
      </c>
      <c r="K27" s="585" t="str">
        <f>IF(J27="","",IF(H27="roll",VLOOKUP(B27,BDD!Y:AD,2,0),VLOOKUP(B27,BDD!Y:AD,3,0)))</f>
        <v/>
      </c>
      <c r="L27" s="796" t="str">
        <f>IF(J27="","",IF(VLOOKUP(B27,BDD!Y:AD,5,0)="luxe",$N$44,$N$45))</f>
        <v/>
      </c>
      <c r="M27" s="797"/>
      <c r="N27" s="565" t="str">
        <f t="shared" si="0"/>
        <v/>
      </c>
      <c r="O27" s="32"/>
      <c r="P27" s="32"/>
    </row>
    <row r="28" spans="2:16" ht="23.1" customHeight="1" x14ac:dyDescent="0.25">
      <c r="B28" s="777"/>
      <c r="C28" s="734"/>
      <c r="D28" s="734"/>
      <c r="E28" s="734"/>
      <c r="F28" s="734"/>
      <c r="G28" s="734"/>
      <c r="H28" s="582"/>
      <c r="I28" s="583"/>
      <c r="J28" s="584" t="str">
        <f>IF(I28="","",IF(H28="roll",(VLOOKUP(B28,BDD!Y:AD,4,0))*I28,I28))</f>
        <v/>
      </c>
      <c r="K28" s="585" t="str">
        <f>IF(J28="","",IF(H28="roll",VLOOKUP(B28,BDD!Y:AD,2,0),VLOOKUP(B28,BDD!Y:AD,3,0)))</f>
        <v/>
      </c>
      <c r="L28" s="796" t="str">
        <f>IF(J28="","",IF(VLOOKUP(B28,BDD!Y:AD,5,0)="luxe",$N$44,$N$45))</f>
        <v/>
      </c>
      <c r="M28" s="797"/>
      <c r="N28" s="565" t="str">
        <f t="shared" si="0"/>
        <v/>
      </c>
      <c r="O28" s="32"/>
      <c r="P28" s="32"/>
    </row>
    <row r="29" spans="2:16" ht="23.1" customHeight="1" x14ac:dyDescent="0.25">
      <c r="B29" s="777"/>
      <c r="C29" s="734"/>
      <c r="D29" s="734"/>
      <c r="E29" s="734"/>
      <c r="F29" s="734"/>
      <c r="G29" s="734"/>
      <c r="H29" s="582"/>
      <c r="I29" s="583"/>
      <c r="J29" s="584" t="str">
        <f>IF(I29="","",IF(H29="roll",(VLOOKUP(B29,BDD!Y:AD,4,0))*I29,I29))</f>
        <v/>
      </c>
      <c r="K29" s="585" t="str">
        <f>IF(J29="","",IF(H29="roll",VLOOKUP(B29,BDD!Y:AD,2,0),VLOOKUP(B29,BDD!Y:AD,3,0)))</f>
        <v/>
      </c>
      <c r="L29" s="796" t="str">
        <f>IF(J29="","",IF(VLOOKUP(B29,BDD!Y:AD,5,0)="luxe",$N$44,$N$45))</f>
        <v/>
      </c>
      <c r="M29" s="797"/>
      <c r="N29" s="565" t="str">
        <f t="shared" si="0"/>
        <v/>
      </c>
      <c r="O29" s="32"/>
      <c r="P29" s="32"/>
    </row>
    <row r="30" spans="2:16" ht="23.1" customHeight="1" x14ac:dyDescent="0.25">
      <c r="B30" s="777"/>
      <c r="C30" s="734"/>
      <c r="D30" s="734"/>
      <c r="E30" s="734"/>
      <c r="F30" s="734"/>
      <c r="G30" s="734"/>
      <c r="H30" s="582"/>
      <c r="I30" s="583"/>
      <c r="J30" s="584" t="str">
        <f>IF(I30="","",IF(H30="roll",(VLOOKUP(B30,BDD!Y:AD,4,0))*I30,I30))</f>
        <v/>
      </c>
      <c r="K30" s="585" t="str">
        <f>IF(J30="","",IF(H30="roll",VLOOKUP(B30,BDD!Y:AD,2,0),VLOOKUP(B30,BDD!Y:AD,3,0)))</f>
        <v/>
      </c>
      <c r="L30" s="796" t="str">
        <f>IF(J30="","",IF(VLOOKUP(B30,BDD!Y:AD,5,0)="luxe",$N$44,$N$45))</f>
        <v/>
      </c>
      <c r="M30" s="797"/>
      <c r="N30" s="565" t="str">
        <f t="shared" si="0"/>
        <v/>
      </c>
      <c r="O30" s="32"/>
      <c r="P30" s="32"/>
    </row>
    <row r="31" spans="2:16" ht="23.1" customHeight="1" x14ac:dyDescent="0.25">
      <c r="B31" s="777"/>
      <c r="C31" s="734"/>
      <c r="D31" s="734"/>
      <c r="E31" s="734"/>
      <c r="F31" s="734"/>
      <c r="G31" s="734"/>
      <c r="H31" s="582"/>
      <c r="I31" s="583"/>
      <c r="J31" s="584" t="str">
        <f>IF(I31="","",IF(H31="roll",(VLOOKUP(B31,BDD!Y:AD,4,0))*I31,I31))</f>
        <v/>
      </c>
      <c r="K31" s="585" t="str">
        <f>IF(J31="","",IF(H31="roll",VLOOKUP(B31,BDD!Y:AD,2,0),VLOOKUP(B31,BDD!Y:AD,3,0)))</f>
        <v/>
      </c>
      <c r="L31" s="796" t="str">
        <f>IF(J31="","",IF(VLOOKUP(B31,BDD!Y:AD,5,0)="luxe",$N$44,$N$45))</f>
        <v/>
      </c>
      <c r="M31" s="797"/>
      <c r="N31" s="565" t="str">
        <f t="shared" si="0"/>
        <v/>
      </c>
      <c r="O31" s="32"/>
      <c r="P31" s="32"/>
    </row>
    <row r="32" spans="2:16" ht="23.1" customHeight="1" x14ac:dyDescent="0.25">
      <c r="B32" s="777"/>
      <c r="C32" s="734"/>
      <c r="D32" s="734"/>
      <c r="E32" s="734"/>
      <c r="F32" s="734"/>
      <c r="G32" s="734"/>
      <c r="H32" s="582"/>
      <c r="I32" s="583"/>
      <c r="J32" s="584" t="str">
        <f>IF(I32="","",IF(H32="roll",(VLOOKUP(B32,BDD!Y:AD,4,0))*I32,I32))</f>
        <v/>
      </c>
      <c r="K32" s="585" t="str">
        <f>IF(J32="","",IF(H32="roll",VLOOKUP(B32,BDD!Y:AD,2,0),VLOOKUP(B32,BDD!Y:AD,3,0)))</f>
        <v/>
      </c>
      <c r="L32" s="796" t="str">
        <f>IF(J32="","",IF(VLOOKUP(B32,BDD!Y:AD,5,0)="luxe",$N$44,$N$45))</f>
        <v/>
      </c>
      <c r="M32" s="797"/>
      <c r="N32" s="565" t="str">
        <f t="shared" si="0"/>
        <v/>
      </c>
      <c r="O32" s="32"/>
      <c r="P32" s="32"/>
    </row>
    <row r="33" spans="2:16" ht="23.1" customHeight="1" x14ac:dyDescent="0.25">
      <c r="B33" s="777"/>
      <c r="C33" s="734"/>
      <c r="D33" s="734"/>
      <c r="E33" s="734"/>
      <c r="F33" s="734"/>
      <c r="G33" s="734"/>
      <c r="H33" s="582"/>
      <c r="I33" s="583"/>
      <c r="J33" s="584" t="str">
        <f>IF(I33="","",IF(H33="roll",(VLOOKUP(B33,BDD!Y:AD,4,0))*I33,I33))</f>
        <v/>
      </c>
      <c r="K33" s="585" t="str">
        <f>IF(J33="","",IF(H33="roll",VLOOKUP(B33,BDD!Y:AD,2,0),VLOOKUP(B33,BDD!Y:AD,3,0)))</f>
        <v/>
      </c>
      <c r="L33" s="796" t="str">
        <f>IF(J33="","",IF(VLOOKUP(B33,BDD!Y:AD,5,0)="luxe",$N$44,$N$45))</f>
        <v/>
      </c>
      <c r="M33" s="797"/>
      <c r="N33" s="565" t="str">
        <f t="shared" si="0"/>
        <v/>
      </c>
      <c r="O33" s="32"/>
      <c r="P33" s="32"/>
    </row>
    <row r="34" spans="2:16" ht="23.1" customHeight="1" x14ac:dyDescent="0.25">
      <c r="B34" s="777"/>
      <c r="C34" s="734"/>
      <c r="D34" s="734"/>
      <c r="E34" s="734"/>
      <c r="F34" s="734"/>
      <c r="G34" s="734"/>
      <c r="H34" s="582"/>
      <c r="I34" s="583"/>
      <c r="J34" s="584" t="str">
        <f>IF(I34="","",IF(H34="roll",(VLOOKUP(B34,BDD!Y:AD,4,0))*I34,I34))</f>
        <v/>
      </c>
      <c r="K34" s="585" t="str">
        <f>IF(J34="","",IF(H34="roll",VLOOKUP(B34,BDD!Y:AD,2,0),VLOOKUP(B34,BDD!Y:AD,3,0)))</f>
        <v/>
      </c>
      <c r="L34" s="796" t="str">
        <f>IF(J34="","",IF(VLOOKUP(B34,BDD!Y:AD,5,0)="luxe",$N$44,$N$45))</f>
        <v/>
      </c>
      <c r="M34" s="797"/>
      <c r="N34" s="565" t="str">
        <f t="shared" si="0"/>
        <v/>
      </c>
      <c r="O34" s="32"/>
      <c r="P34" s="32"/>
    </row>
    <row r="35" spans="2:16" ht="23.1" customHeight="1" x14ac:dyDescent="0.25">
      <c r="B35" s="777"/>
      <c r="C35" s="734"/>
      <c r="D35" s="734"/>
      <c r="E35" s="734"/>
      <c r="F35" s="734"/>
      <c r="G35" s="734"/>
      <c r="H35" s="582"/>
      <c r="I35" s="583"/>
      <c r="J35" s="584" t="str">
        <f>IF(I35="","",IF(H35="roll",(VLOOKUP(B35,BDD!Y:AD,4,0))*I35,I35))</f>
        <v/>
      </c>
      <c r="K35" s="585" t="str">
        <f>IF(J35="","",IF(H35="roll",VLOOKUP(B35,BDD!Y:AD,2,0),VLOOKUP(B35,BDD!Y:AD,3,0)))</f>
        <v/>
      </c>
      <c r="L35" s="796" t="str">
        <f>IF(J35="","",IF(VLOOKUP(B35,BDD!Y:AD,5,0)="luxe",$N$44,$N$45))</f>
        <v/>
      </c>
      <c r="M35" s="797"/>
      <c r="N35" s="565" t="str">
        <f t="shared" si="0"/>
        <v/>
      </c>
      <c r="O35" s="32"/>
      <c r="P35" s="32"/>
    </row>
    <row r="36" spans="2:16" ht="23.1" customHeight="1" x14ac:dyDescent="0.25">
      <c r="B36" s="777"/>
      <c r="C36" s="734"/>
      <c r="D36" s="734"/>
      <c r="E36" s="734"/>
      <c r="F36" s="734"/>
      <c r="G36" s="734"/>
      <c r="H36" s="582"/>
      <c r="I36" s="583"/>
      <c r="J36" s="584" t="str">
        <f>IF(I36="","",IF(H36="roll",(VLOOKUP(B36,BDD!Y:AD,4,0))*I36,I36))</f>
        <v/>
      </c>
      <c r="K36" s="585" t="str">
        <f>IF(J36="","",IF(H36="roll",VLOOKUP(B36,BDD!Y:AD,2,0),VLOOKUP(B36,BDD!Y:AD,3,0)))</f>
        <v/>
      </c>
      <c r="L36" s="796" t="str">
        <f>IF(J36="","",IF(VLOOKUP(B36,BDD!Y:AD,5,0)="luxe",$N$44,$N$45))</f>
        <v/>
      </c>
      <c r="M36" s="797"/>
      <c r="N36" s="565" t="str">
        <f t="shared" si="0"/>
        <v/>
      </c>
      <c r="O36" s="32"/>
      <c r="P36" s="32"/>
    </row>
    <row r="37" spans="2:16" ht="23.1" customHeight="1" x14ac:dyDescent="0.25">
      <c r="B37" s="777"/>
      <c r="C37" s="734"/>
      <c r="D37" s="734"/>
      <c r="E37" s="734"/>
      <c r="F37" s="734"/>
      <c r="G37" s="734"/>
      <c r="H37" s="582"/>
      <c r="I37" s="583"/>
      <c r="J37" s="584" t="str">
        <f>IF(I37="","",IF(H37="roll",(VLOOKUP(B37,BDD!Y:AD,4,0))*I37,I37))</f>
        <v/>
      </c>
      <c r="K37" s="585" t="str">
        <f>IF(J37="","",IF(H37="roll",VLOOKUP(B37,BDD!Y:AD,2,0),VLOOKUP(B37,BDD!Y:AD,3,0)))</f>
        <v/>
      </c>
      <c r="L37" s="796" t="str">
        <f>IF(J37="","",IF(VLOOKUP(B37,BDD!Y:AD,5,0)="luxe",$N$44,$N$45))</f>
        <v/>
      </c>
      <c r="M37" s="797"/>
      <c r="N37" s="565" t="str">
        <f t="shared" si="0"/>
        <v/>
      </c>
      <c r="P37" s="32"/>
    </row>
    <row r="38" spans="2:16" ht="23.1" customHeight="1" x14ac:dyDescent="0.25">
      <c r="B38" s="777"/>
      <c r="C38" s="734"/>
      <c r="D38" s="734"/>
      <c r="E38" s="734"/>
      <c r="F38" s="734"/>
      <c r="G38" s="734"/>
      <c r="H38" s="582"/>
      <c r="I38" s="583"/>
      <c r="J38" s="584" t="str">
        <f>IF(I38="","",IF(H38="roll",(VLOOKUP(B38,BDD!Y:AD,4,0))*I38,I38))</f>
        <v/>
      </c>
      <c r="K38" s="585" t="str">
        <f>IF(J38="","",IF(H38="roll",VLOOKUP(B38,BDD!Y:AD,2,0),VLOOKUP(B38,BDD!Y:AD,3,0)))</f>
        <v/>
      </c>
      <c r="L38" s="796" t="str">
        <f>IF(J38="","",IF(VLOOKUP(B38,BDD!Y:AD,5,0)="luxe",$N$44,$N$45))</f>
        <v/>
      </c>
      <c r="M38" s="797"/>
      <c r="N38" s="565" t="str">
        <f t="shared" si="0"/>
        <v/>
      </c>
      <c r="O38" s="32"/>
      <c r="P38" s="32"/>
    </row>
    <row r="39" spans="2:16" ht="23.1" customHeight="1" thickBot="1" x14ac:dyDescent="0.3">
      <c r="B39" s="764"/>
      <c r="C39" s="739"/>
      <c r="D39" s="739"/>
      <c r="E39" s="739"/>
      <c r="F39" s="739"/>
      <c r="G39" s="739"/>
      <c r="H39" s="179"/>
      <c r="I39" s="180"/>
      <c r="J39" s="177" t="str">
        <f>IF(I39="","",IF(H39="roll",(VLOOKUP(B39,BDD!Y:AD,4,0))*I39,I39))</f>
        <v/>
      </c>
      <c r="K39" s="181" t="str">
        <f>IF(J39="","",IF(H39="roll",VLOOKUP(B39,BDD!Y:AD,2,0),VLOOKUP(B39,BDD!Y:AD,3,0)))</f>
        <v/>
      </c>
      <c r="L39" s="775" t="str">
        <f>IF(J39="","",IF(VLOOKUP(B39,BDD!Y:AD,5,0)="luxe",$N$44,$N$45))</f>
        <v/>
      </c>
      <c r="M39" s="776"/>
      <c r="N39" s="568" t="str">
        <f t="shared" si="0"/>
        <v/>
      </c>
      <c r="O39" s="32"/>
      <c r="P39" s="32"/>
    </row>
    <row r="40" spans="2:16" ht="20.100000000000001" customHeight="1" x14ac:dyDescent="0.25">
      <c r="B40" s="28"/>
      <c r="C40" s="28"/>
      <c r="D40" s="32"/>
      <c r="E40" s="32"/>
      <c r="F40" s="116"/>
      <c r="G40" s="32"/>
      <c r="H40" s="116"/>
      <c r="I40" s="117"/>
      <c r="J40" s="564"/>
      <c r="K40" s="561" t="s">
        <v>324</v>
      </c>
      <c r="L40" s="561"/>
      <c r="M40" s="586"/>
      <c r="N40" s="562">
        <f>SUM(N10:N39)</f>
        <v>0</v>
      </c>
      <c r="O40" s="32"/>
    </row>
    <row r="41" spans="2:16" ht="20.100000000000001" customHeight="1" x14ac:dyDescent="0.25">
      <c r="B41" s="103"/>
      <c r="C41" s="103"/>
      <c r="D41" s="103"/>
      <c r="E41" s="103"/>
      <c r="F41" s="103"/>
      <c r="H41" s="103"/>
      <c r="I41" s="103"/>
      <c r="J41" s="32"/>
      <c r="K41" s="561" t="s">
        <v>325</v>
      </c>
      <c r="L41" s="561"/>
      <c r="N41" s="562">
        <f>N40+'Doors order'!N40+'Panel order'!L40+'Cava Doors order'!N40</f>
        <v>0</v>
      </c>
      <c r="O41" s="32"/>
    </row>
    <row r="42" spans="2:16" ht="6" customHeight="1" thickBot="1" x14ac:dyDescent="0.35">
      <c r="B42" s="118"/>
      <c r="C42" s="118"/>
      <c r="D42" s="118"/>
      <c r="E42" s="118"/>
      <c r="F42" s="118"/>
      <c r="G42" s="118"/>
      <c r="H42" s="29"/>
      <c r="I42" s="29"/>
      <c r="J42" s="13"/>
      <c r="K42" s="26"/>
      <c r="L42" s="109"/>
      <c r="M42" s="109"/>
      <c r="N42" s="110"/>
      <c r="O42" s="32"/>
    </row>
    <row r="43" spans="2:16" ht="15.75" x14ac:dyDescent="0.25">
      <c r="B43" s="746" t="s">
        <v>19</v>
      </c>
      <c r="C43" s="747"/>
      <c r="D43" s="747"/>
      <c r="E43" s="747"/>
      <c r="F43" s="747"/>
      <c r="G43" s="747"/>
      <c r="H43" s="748"/>
      <c r="I43" s="765" t="s">
        <v>20</v>
      </c>
      <c r="J43" s="766"/>
      <c r="K43" s="766"/>
      <c r="L43" s="767"/>
      <c r="M43" s="750" t="s">
        <v>88</v>
      </c>
      <c r="N43" s="751"/>
      <c r="O43" s="32"/>
    </row>
    <row r="44" spans="2:16" ht="20.100000000000001" customHeight="1" x14ac:dyDescent="0.25">
      <c r="B44" s="752"/>
      <c r="C44" s="753"/>
      <c r="D44" s="753"/>
      <c r="E44" s="753"/>
      <c r="F44" s="753"/>
      <c r="G44" s="753"/>
      <c r="H44" s="754"/>
      <c r="I44" s="768" t="s">
        <v>323</v>
      </c>
      <c r="J44" s="769"/>
      <c r="K44" s="769"/>
      <c r="L44" s="770"/>
      <c r="M44" s="127" t="s">
        <v>67</v>
      </c>
      <c r="N44" s="46">
        <v>0.02</v>
      </c>
      <c r="O44" s="32"/>
    </row>
    <row r="45" spans="2:16" ht="20.100000000000001" customHeight="1" thickBot="1" x14ac:dyDescent="0.3">
      <c r="B45" s="755"/>
      <c r="C45" s="756"/>
      <c r="D45" s="756"/>
      <c r="E45" s="756"/>
      <c r="F45" s="756"/>
      <c r="G45" s="756"/>
      <c r="H45" s="757"/>
      <c r="I45" s="771"/>
      <c r="J45" s="772"/>
      <c r="K45" s="772"/>
      <c r="L45" s="773"/>
      <c r="M45" s="128" t="s">
        <v>227</v>
      </c>
      <c r="N45" s="53">
        <v>0</v>
      </c>
      <c r="O45" s="32"/>
    </row>
    <row r="46" spans="2:16" ht="26.1" customHeight="1" x14ac:dyDescent="0.25">
      <c r="B46" s="603" t="s">
        <v>321</v>
      </c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32"/>
    </row>
    <row r="47" spans="2:16" x14ac:dyDescent="0.25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5"/>
      <c r="N47" s="134"/>
      <c r="O47" s="32"/>
    </row>
    <row r="48" spans="2:16" ht="15.75" x14ac:dyDescent="0.25">
      <c r="B48" s="136"/>
      <c r="C48" s="137"/>
      <c r="D48" s="137"/>
      <c r="E48" s="136"/>
      <c r="F48" s="136"/>
      <c r="G48" s="136"/>
      <c r="H48" s="136"/>
      <c r="I48" s="136"/>
      <c r="J48" s="136"/>
      <c r="K48" s="138"/>
      <c r="L48" s="138"/>
      <c r="M48" s="139"/>
      <c r="N48" s="140"/>
      <c r="O48" s="32"/>
    </row>
    <row r="49" spans="1:257" x14ac:dyDescent="0.25">
      <c r="B49" s="134"/>
      <c r="C49" s="134"/>
      <c r="D49" s="134"/>
      <c r="E49" s="134"/>
      <c r="F49" s="141"/>
      <c r="G49" s="134"/>
      <c r="H49" s="134"/>
      <c r="I49" s="134"/>
      <c r="J49" s="134"/>
      <c r="K49" s="134"/>
      <c r="L49" s="134"/>
      <c r="M49" s="135"/>
      <c r="N49" s="134"/>
      <c r="O49" s="32"/>
    </row>
    <row r="50" spans="1:257" s="152" customFormat="1" x14ac:dyDescent="0.25">
      <c r="A50" s="32"/>
      <c r="B50" s="774"/>
      <c r="C50" s="774"/>
      <c r="D50" s="142"/>
      <c r="E50" s="142"/>
      <c r="F50" s="141"/>
      <c r="G50" s="141"/>
      <c r="H50" s="141"/>
      <c r="I50" s="141"/>
      <c r="J50" s="134"/>
      <c r="K50" s="134"/>
      <c r="L50" s="134"/>
      <c r="M50" s="135"/>
      <c r="N50" s="134"/>
      <c r="O50" s="134"/>
    </row>
    <row r="51" spans="1:257" s="152" customFormat="1" ht="15.75" x14ac:dyDescent="0.25">
      <c r="A51" s="32"/>
      <c r="B51" s="164"/>
      <c r="C51" s="156"/>
      <c r="D51" s="157"/>
      <c r="E51" s="165"/>
      <c r="F51" s="165"/>
      <c r="H51" s="154"/>
      <c r="M51" s="171"/>
    </row>
    <row r="52" spans="1:257" s="152" customFormat="1" ht="15.75" x14ac:dyDescent="0.25">
      <c r="A52" s="32"/>
      <c r="B52" s="164"/>
      <c r="C52" s="156"/>
      <c r="D52" s="157"/>
      <c r="E52" s="165"/>
      <c r="F52" s="165"/>
      <c r="H52" s="154"/>
      <c r="M52" s="171"/>
    </row>
    <row r="53" spans="1:257" s="152" customFormat="1" ht="15.75" x14ac:dyDescent="0.25">
      <c r="A53" s="32"/>
      <c r="B53" s="164"/>
      <c r="C53" s="156"/>
      <c r="E53" s="165"/>
      <c r="F53" s="165"/>
      <c r="H53" s="154"/>
      <c r="M53" s="171"/>
    </row>
    <row r="54" spans="1:257" s="152" customFormat="1" ht="15.75" x14ac:dyDescent="0.25">
      <c r="A54" s="32"/>
      <c r="B54" s="164"/>
      <c r="C54" s="156"/>
      <c r="E54" s="165"/>
      <c r="F54" s="154"/>
      <c r="H54" s="154"/>
      <c r="M54" s="171"/>
    </row>
    <row r="55" spans="1:257" s="152" customFormat="1" ht="15.75" x14ac:dyDescent="0.25">
      <c r="A55" s="32"/>
      <c r="B55" s="164"/>
      <c r="C55" s="156"/>
      <c r="E55" s="165"/>
      <c r="M55" s="171"/>
    </row>
    <row r="56" spans="1:257" s="152" customFormat="1" ht="15.75" x14ac:dyDescent="0.25">
      <c r="A56" s="32"/>
      <c r="B56" s="164"/>
      <c r="C56" s="156"/>
      <c r="E56" s="165"/>
      <c r="M56" s="171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s="152" customFormat="1" ht="15.75" x14ac:dyDescent="0.25">
      <c r="A57" s="32"/>
      <c r="B57" s="164"/>
      <c r="C57" s="156"/>
      <c r="E57" s="165"/>
      <c r="M57" s="171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s="152" customFormat="1" ht="15.75" x14ac:dyDescent="0.25">
      <c r="A58" s="32"/>
      <c r="B58" s="164"/>
      <c r="C58" s="156"/>
      <c r="E58" s="165"/>
      <c r="M58" s="171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s="152" customFormat="1" ht="15.75" x14ac:dyDescent="0.25">
      <c r="A59" s="32"/>
      <c r="B59" s="164"/>
      <c r="C59" s="156"/>
      <c r="E59" s="165"/>
      <c r="M59" s="171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s="152" customFormat="1" ht="15.75" x14ac:dyDescent="0.25">
      <c r="A60" s="32"/>
      <c r="B60" s="164"/>
      <c r="C60" s="156"/>
      <c r="E60" s="165"/>
      <c r="M60" s="17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s="152" customFormat="1" ht="15.75" x14ac:dyDescent="0.25">
      <c r="A61" s="32"/>
      <c r="B61" s="164"/>
      <c r="C61" s="156"/>
      <c r="E61" s="165"/>
      <c r="M61" s="17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s="152" customFormat="1" ht="15.75" x14ac:dyDescent="0.25">
      <c r="A62" s="32"/>
      <c r="B62" s="164"/>
      <c r="C62" s="156"/>
      <c r="E62" s="165"/>
      <c r="M62" s="17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s="152" customFormat="1" ht="15.75" x14ac:dyDescent="0.25">
      <c r="A63" s="32"/>
      <c r="B63" s="164"/>
      <c r="C63" s="156"/>
      <c r="E63" s="165"/>
      <c r="M63" s="17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s="152" customFormat="1" ht="15.75" x14ac:dyDescent="0.25">
      <c r="A64" s="32"/>
      <c r="B64" s="164"/>
      <c r="C64" s="156"/>
      <c r="E64" s="165"/>
      <c r="M64" s="17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s="152" customFormat="1" ht="15.75" x14ac:dyDescent="0.25">
      <c r="A65" s="32"/>
      <c r="B65" s="164"/>
      <c r="C65" s="156"/>
      <c r="E65" s="165"/>
      <c r="M65" s="171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s="152" customFormat="1" ht="15.75" x14ac:dyDescent="0.25">
      <c r="A66" s="32"/>
      <c r="B66" s="164"/>
      <c r="C66" s="156"/>
      <c r="E66" s="165"/>
      <c r="M66" s="171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s="152" customFormat="1" ht="15.75" x14ac:dyDescent="0.25">
      <c r="A67" s="32"/>
      <c r="B67" s="164"/>
      <c r="C67" s="156"/>
      <c r="E67" s="165"/>
      <c r="M67" s="171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s="152" customFormat="1" ht="15.75" x14ac:dyDescent="0.25">
      <c r="A68" s="32"/>
      <c r="B68" s="164"/>
      <c r="C68" s="156"/>
      <c r="E68" s="165"/>
      <c r="M68" s="171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s="152" customFormat="1" ht="15.75" x14ac:dyDescent="0.25">
      <c r="A69" s="32"/>
      <c r="B69" s="164"/>
      <c r="C69" s="156"/>
      <c r="E69" s="165"/>
      <c r="M69" s="171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s="152" customFormat="1" ht="15.75" x14ac:dyDescent="0.25">
      <c r="A70" s="32"/>
      <c r="B70" s="164"/>
      <c r="C70" s="156"/>
      <c r="E70" s="165"/>
      <c r="M70" s="171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s="152" customFormat="1" ht="15.75" x14ac:dyDescent="0.25">
      <c r="A71" s="32"/>
      <c r="B71" s="164"/>
      <c r="C71" s="156"/>
      <c r="E71" s="165"/>
      <c r="M71" s="1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s="152" customFormat="1" ht="15.75" x14ac:dyDescent="0.25">
      <c r="A72" s="32"/>
      <c r="B72" s="166"/>
      <c r="C72" s="156"/>
      <c r="E72" s="165"/>
      <c r="M72" s="171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s="152" customFormat="1" ht="15.75" x14ac:dyDescent="0.25">
      <c r="A73" s="32"/>
      <c r="B73" s="166"/>
      <c r="C73" s="156"/>
      <c r="E73" s="165"/>
      <c r="M73" s="171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s="152" customFormat="1" ht="15.75" x14ac:dyDescent="0.25">
      <c r="A74" s="32"/>
      <c r="B74" s="156"/>
      <c r="C74" s="156"/>
      <c r="E74" s="165"/>
      <c r="M74" s="171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s="152" customFormat="1" ht="15.75" x14ac:dyDescent="0.25">
      <c r="A75" s="32"/>
      <c r="B75" s="156"/>
      <c r="C75" s="164"/>
      <c r="E75" s="165"/>
      <c r="M75" s="171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s="152" customFormat="1" ht="15.75" x14ac:dyDescent="0.25">
      <c r="A76" s="32"/>
      <c r="B76" s="156"/>
      <c r="C76" s="164"/>
      <c r="E76" s="165"/>
      <c r="M76" s="171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s="152" customFormat="1" ht="15.75" x14ac:dyDescent="0.25">
      <c r="A77" s="32"/>
      <c r="B77" s="156"/>
      <c r="C77" s="164"/>
      <c r="E77" s="165"/>
      <c r="M77" s="171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s="152" customFormat="1" ht="15.75" x14ac:dyDescent="0.25">
      <c r="A78" s="32"/>
      <c r="B78" s="166"/>
      <c r="C78" s="164"/>
      <c r="E78" s="165"/>
      <c r="M78" s="171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s="152" customFormat="1" ht="15.75" x14ac:dyDescent="0.25">
      <c r="A79" s="32"/>
      <c r="B79" s="166"/>
      <c r="C79" s="164"/>
      <c r="E79" s="165"/>
      <c r="M79" s="171"/>
    </row>
    <row r="80" spans="1:257" s="152" customFormat="1" ht="15.75" x14ac:dyDescent="0.25">
      <c r="A80" s="32"/>
      <c r="B80" s="166"/>
      <c r="C80" s="164"/>
      <c r="E80" s="165"/>
      <c r="M80" s="171"/>
    </row>
    <row r="81" spans="1:13" s="152" customFormat="1" ht="15.75" x14ac:dyDescent="0.25">
      <c r="A81" s="32"/>
      <c r="B81" s="166"/>
      <c r="C81" s="164"/>
      <c r="E81" s="165"/>
      <c r="M81" s="171"/>
    </row>
    <row r="82" spans="1:13" s="152" customFormat="1" ht="15.75" x14ac:dyDescent="0.25">
      <c r="A82" s="32"/>
      <c r="B82" s="166"/>
      <c r="C82" s="164"/>
      <c r="E82" s="165"/>
      <c r="M82" s="171"/>
    </row>
    <row r="83" spans="1:13" s="152" customFormat="1" ht="15.75" x14ac:dyDescent="0.25">
      <c r="A83" s="32"/>
      <c r="B83" s="166"/>
      <c r="C83" s="160"/>
      <c r="E83" s="165"/>
      <c r="M83" s="171"/>
    </row>
    <row r="84" spans="1:13" s="152" customFormat="1" ht="15.75" x14ac:dyDescent="0.25">
      <c r="A84" s="32"/>
      <c r="B84" s="166"/>
      <c r="C84" s="166"/>
      <c r="E84" s="165"/>
      <c r="M84" s="171"/>
    </row>
    <row r="85" spans="1:13" s="152" customFormat="1" ht="15.75" x14ac:dyDescent="0.25">
      <c r="A85" s="32"/>
      <c r="B85" s="166"/>
      <c r="C85" s="166"/>
      <c r="E85" s="165"/>
      <c r="M85" s="171"/>
    </row>
    <row r="86" spans="1:13" s="152" customFormat="1" ht="15.75" x14ac:dyDescent="0.25">
      <c r="A86" s="32"/>
      <c r="B86" s="166"/>
      <c r="C86" s="166"/>
      <c r="E86" s="165"/>
      <c r="M86" s="171"/>
    </row>
    <row r="87" spans="1:13" s="152" customFormat="1" ht="15.75" x14ac:dyDescent="0.25">
      <c r="A87" s="32"/>
      <c r="B87" s="166"/>
      <c r="C87" s="166"/>
      <c r="E87" s="165"/>
      <c r="M87" s="171"/>
    </row>
    <row r="88" spans="1:13" s="152" customFormat="1" ht="15.75" x14ac:dyDescent="0.25">
      <c r="A88" s="32"/>
      <c r="E88" s="165"/>
      <c r="M88" s="171"/>
    </row>
    <row r="89" spans="1:13" s="152" customFormat="1" ht="15.75" x14ac:dyDescent="0.25">
      <c r="A89" s="32"/>
      <c r="E89" s="165"/>
      <c r="M89" s="171"/>
    </row>
    <row r="90" spans="1:13" s="152" customFormat="1" ht="15.75" x14ac:dyDescent="0.25">
      <c r="A90" s="32"/>
      <c r="B90" s="161"/>
      <c r="E90" s="165"/>
      <c r="M90" s="171"/>
    </row>
    <row r="91" spans="1:13" s="152" customFormat="1" ht="15.75" x14ac:dyDescent="0.25">
      <c r="A91" s="32"/>
      <c r="B91" s="161"/>
      <c r="E91" s="165"/>
      <c r="M91" s="171"/>
    </row>
    <row r="92" spans="1:13" s="152" customFormat="1" ht="15.75" x14ac:dyDescent="0.25">
      <c r="A92" s="32"/>
      <c r="B92" s="161"/>
      <c r="E92" s="165"/>
      <c r="M92" s="171"/>
    </row>
    <row r="93" spans="1:13" s="152" customFormat="1" ht="15.75" x14ac:dyDescent="0.25">
      <c r="A93" s="32"/>
      <c r="B93" s="161"/>
      <c r="E93" s="165"/>
      <c r="M93" s="171"/>
    </row>
    <row r="94" spans="1:13" s="152" customFormat="1" ht="15.75" x14ac:dyDescent="0.25">
      <c r="A94" s="32"/>
      <c r="B94" s="161"/>
      <c r="E94" s="165"/>
      <c r="M94" s="171"/>
    </row>
    <row r="95" spans="1:13" s="152" customFormat="1" ht="15.75" x14ac:dyDescent="0.25">
      <c r="A95" s="32"/>
      <c r="B95" s="161"/>
      <c r="E95" s="165"/>
      <c r="M95" s="171"/>
    </row>
    <row r="96" spans="1:13" s="152" customFormat="1" ht="15.75" x14ac:dyDescent="0.25">
      <c r="A96" s="32"/>
      <c r="B96" s="161"/>
      <c r="E96" s="165"/>
      <c r="M96" s="171"/>
    </row>
    <row r="97" spans="1:13" s="152" customFormat="1" ht="15.75" x14ac:dyDescent="0.25">
      <c r="A97" s="32"/>
      <c r="B97" s="161"/>
      <c r="E97" s="165"/>
      <c r="M97" s="171"/>
    </row>
    <row r="98" spans="1:13" s="152" customFormat="1" ht="15.75" x14ac:dyDescent="0.25">
      <c r="A98" s="32"/>
      <c r="B98" s="161"/>
      <c r="E98" s="165"/>
      <c r="M98" s="171"/>
    </row>
    <row r="99" spans="1:13" s="152" customFormat="1" ht="15.75" x14ac:dyDescent="0.25">
      <c r="A99" s="32"/>
      <c r="B99" s="161"/>
      <c r="D99" s="157"/>
      <c r="E99" s="165"/>
      <c r="M99" s="171"/>
    </row>
    <row r="100" spans="1:13" s="152" customFormat="1" ht="15.75" x14ac:dyDescent="0.25">
      <c r="A100" s="32"/>
      <c r="B100" s="161"/>
      <c r="D100" s="157"/>
      <c r="E100" s="165"/>
      <c r="M100" s="171"/>
    </row>
    <row r="101" spans="1:13" s="152" customFormat="1" ht="15.75" x14ac:dyDescent="0.25">
      <c r="A101" s="32"/>
      <c r="B101" s="161"/>
      <c r="D101" s="157"/>
      <c r="E101" s="165"/>
      <c r="M101" s="171"/>
    </row>
    <row r="102" spans="1:13" s="152" customFormat="1" ht="15.75" x14ac:dyDescent="0.25">
      <c r="A102" s="32"/>
      <c r="B102" s="161"/>
      <c r="D102" s="157"/>
      <c r="E102" s="165"/>
      <c r="M102" s="171"/>
    </row>
    <row r="103" spans="1:13" s="152" customFormat="1" ht="15.75" x14ac:dyDescent="0.25">
      <c r="A103" s="32"/>
      <c r="B103" s="161"/>
      <c r="D103" s="157"/>
      <c r="E103" s="165"/>
      <c r="M103" s="171"/>
    </row>
    <row r="104" spans="1:13" s="152" customFormat="1" ht="15.75" x14ac:dyDescent="0.25">
      <c r="A104" s="32"/>
      <c r="B104" s="161"/>
      <c r="D104" s="157"/>
      <c r="E104" s="165"/>
      <c r="M104" s="171"/>
    </row>
    <row r="105" spans="1:13" s="152" customFormat="1" ht="15.75" x14ac:dyDescent="0.25">
      <c r="A105" s="32"/>
      <c r="B105" s="161"/>
      <c r="D105" s="157"/>
      <c r="E105" s="165"/>
      <c r="M105" s="171"/>
    </row>
    <row r="106" spans="1:13" s="152" customFormat="1" ht="15.75" x14ac:dyDescent="0.25">
      <c r="A106" s="32"/>
      <c r="B106" s="161"/>
      <c r="D106" s="157"/>
      <c r="E106" s="165"/>
      <c r="M106" s="171"/>
    </row>
    <row r="107" spans="1:13" s="152" customFormat="1" ht="15.75" x14ac:dyDescent="0.25">
      <c r="A107" s="32"/>
      <c r="B107" s="161"/>
      <c r="D107" s="157"/>
      <c r="E107" s="165"/>
      <c r="M107" s="171"/>
    </row>
    <row r="108" spans="1:13" s="152" customFormat="1" ht="15.75" x14ac:dyDescent="0.25">
      <c r="A108" s="32"/>
      <c r="B108" s="161"/>
      <c r="D108" s="157"/>
      <c r="E108" s="165"/>
      <c r="M108" s="171"/>
    </row>
    <row r="109" spans="1:13" s="152" customFormat="1" ht="15.75" x14ac:dyDescent="0.25">
      <c r="A109" s="32"/>
      <c r="B109" s="161"/>
      <c r="D109" s="157"/>
      <c r="E109" s="165"/>
      <c r="M109" s="171"/>
    </row>
    <row r="110" spans="1:13" s="152" customFormat="1" ht="15.75" x14ac:dyDescent="0.25">
      <c r="A110" s="32"/>
      <c r="B110" s="161"/>
      <c r="D110" s="157"/>
      <c r="E110" s="165"/>
      <c r="M110" s="171"/>
    </row>
    <row r="111" spans="1:13" s="152" customFormat="1" ht="15.75" x14ac:dyDescent="0.25">
      <c r="A111" s="32"/>
      <c r="B111" s="161"/>
      <c r="D111" s="157"/>
      <c r="E111" s="165"/>
      <c r="M111" s="171"/>
    </row>
    <row r="112" spans="1:13" s="152" customFormat="1" ht="15.75" x14ac:dyDescent="0.25">
      <c r="A112" s="32"/>
      <c r="B112" s="161"/>
      <c r="D112" s="157"/>
      <c r="E112" s="165"/>
      <c r="M112" s="171"/>
    </row>
    <row r="113" spans="1:13" s="152" customFormat="1" ht="15.75" x14ac:dyDescent="0.25">
      <c r="A113" s="32"/>
      <c r="B113" s="161"/>
      <c r="D113" s="157"/>
      <c r="E113" s="165"/>
      <c r="M113" s="171"/>
    </row>
    <row r="114" spans="1:13" s="152" customFormat="1" ht="15.75" x14ac:dyDescent="0.25">
      <c r="A114" s="32"/>
      <c r="B114" s="161"/>
      <c r="D114" s="157"/>
      <c r="E114" s="165"/>
      <c r="M114" s="171"/>
    </row>
    <row r="115" spans="1:13" s="152" customFormat="1" ht="15.75" x14ac:dyDescent="0.25">
      <c r="A115" s="32"/>
      <c r="B115" s="161"/>
      <c r="D115" s="157"/>
      <c r="E115" s="165"/>
      <c r="M115" s="171"/>
    </row>
    <row r="116" spans="1:13" s="152" customFormat="1" ht="15.75" x14ac:dyDescent="0.25">
      <c r="A116" s="32"/>
      <c r="B116" s="161"/>
      <c r="D116" s="157"/>
      <c r="E116" s="165"/>
      <c r="M116" s="171"/>
    </row>
    <row r="117" spans="1:13" s="152" customFormat="1" ht="15.75" x14ac:dyDescent="0.25">
      <c r="A117" s="32"/>
      <c r="B117" s="161"/>
      <c r="D117" s="157"/>
      <c r="E117" s="165"/>
      <c r="M117" s="171"/>
    </row>
    <row r="118" spans="1:13" s="152" customFormat="1" ht="15.75" x14ac:dyDescent="0.25">
      <c r="A118" s="32"/>
      <c r="B118" s="161"/>
      <c r="D118" s="157"/>
      <c r="E118" s="165"/>
      <c r="M118" s="171"/>
    </row>
    <row r="119" spans="1:13" s="152" customFormat="1" ht="15.75" x14ac:dyDescent="0.25">
      <c r="A119" s="32"/>
      <c r="B119" s="161"/>
      <c r="D119" s="157"/>
      <c r="E119" s="165"/>
      <c r="M119" s="171"/>
    </row>
    <row r="120" spans="1:13" s="152" customFormat="1" ht="15.75" x14ac:dyDescent="0.25">
      <c r="A120" s="32"/>
      <c r="B120" s="161"/>
      <c r="D120" s="157"/>
      <c r="E120" s="165"/>
      <c r="M120" s="171"/>
    </row>
    <row r="121" spans="1:13" s="152" customFormat="1" ht="15.75" x14ac:dyDescent="0.25">
      <c r="A121" s="32"/>
      <c r="B121" s="161"/>
      <c r="D121" s="157"/>
      <c r="E121" s="165"/>
      <c r="M121" s="171"/>
    </row>
    <row r="122" spans="1:13" s="152" customFormat="1" ht="15.75" x14ac:dyDescent="0.25">
      <c r="A122" s="32"/>
      <c r="B122" s="161"/>
      <c r="D122" s="157"/>
      <c r="E122" s="165"/>
      <c r="M122" s="171"/>
    </row>
    <row r="123" spans="1:13" s="152" customFormat="1" ht="15.75" x14ac:dyDescent="0.25">
      <c r="A123" s="32"/>
      <c r="E123" s="165"/>
      <c r="M123" s="171"/>
    </row>
    <row r="124" spans="1:13" s="152" customFormat="1" ht="15.75" x14ac:dyDescent="0.25">
      <c r="A124" s="32"/>
      <c r="E124" s="165"/>
      <c r="M124" s="171"/>
    </row>
    <row r="125" spans="1:13" ht="15.75" x14ac:dyDescent="0.25">
      <c r="E125" s="167"/>
      <c r="F125" s="168"/>
    </row>
    <row r="126" spans="1:13" ht="15.75" x14ac:dyDescent="0.25">
      <c r="E126" s="167"/>
      <c r="F126" s="164"/>
    </row>
    <row r="127" spans="1:13" ht="15.75" x14ac:dyDescent="0.25">
      <c r="E127" s="167"/>
      <c r="F127" s="164"/>
    </row>
    <row r="128" spans="1:13" ht="15.75" x14ac:dyDescent="0.25">
      <c r="E128" s="167"/>
      <c r="F128" s="164"/>
    </row>
    <row r="129" spans="5:6" ht="15.75" x14ac:dyDescent="0.25">
      <c r="E129" s="167"/>
      <c r="F129" s="164"/>
    </row>
    <row r="130" spans="5:6" ht="15.75" x14ac:dyDescent="0.25">
      <c r="E130" s="167"/>
      <c r="F130" s="164"/>
    </row>
    <row r="131" spans="5:6" ht="15.75" x14ac:dyDescent="0.25">
      <c r="E131" s="167"/>
      <c r="F131" s="164"/>
    </row>
    <row r="132" spans="5:6" x14ac:dyDescent="0.25">
      <c r="E132" s="22"/>
      <c r="F132"/>
    </row>
    <row r="133" spans="5:6" x14ac:dyDescent="0.25">
      <c r="E133" s="22"/>
      <c r="F133"/>
    </row>
    <row r="134" spans="5:6" x14ac:dyDescent="0.25">
      <c r="E134" s="22"/>
      <c r="F134"/>
    </row>
    <row r="135" spans="5:6" x14ac:dyDescent="0.25">
      <c r="E135" s="22"/>
      <c r="F135"/>
    </row>
    <row r="136" spans="5:6" x14ac:dyDescent="0.25">
      <c r="E136" s="22"/>
      <c r="F136"/>
    </row>
    <row r="137" spans="5:6" x14ac:dyDescent="0.25">
      <c r="E137" s="22"/>
      <c r="F137"/>
    </row>
    <row r="138" spans="5:6" x14ac:dyDescent="0.25">
      <c r="E138" s="22"/>
      <c r="F138"/>
    </row>
    <row r="139" spans="5:6" x14ac:dyDescent="0.25">
      <c r="E139" s="22"/>
      <c r="F139"/>
    </row>
    <row r="140" spans="5:6" x14ac:dyDescent="0.25">
      <c r="E140" s="22"/>
      <c r="F140"/>
    </row>
    <row r="141" spans="5:6" x14ac:dyDescent="0.25">
      <c r="E141" s="22"/>
      <c r="F141"/>
    </row>
    <row r="144" spans="5:6" x14ac:dyDescent="0.25">
      <c r="F144"/>
    </row>
    <row r="145" spans="3:12" x14ac:dyDescent="0.25">
      <c r="D145" s="745"/>
      <c r="E145" s="745"/>
      <c r="F145" s="745"/>
      <c r="G145" s="745"/>
      <c r="H145" s="745"/>
      <c r="I145" s="745"/>
    </row>
    <row r="146" spans="3:12" x14ac:dyDescent="0.25">
      <c r="C146" s="169"/>
      <c r="D146" s="169"/>
      <c r="E146" s="169"/>
      <c r="F146" s="169"/>
      <c r="G146" s="169"/>
      <c r="H146" s="169"/>
      <c r="I146" s="152"/>
      <c r="J146" s="169"/>
      <c r="K146" s="169"/>
      <c r="L146" s="152"/>
    </row>
    <row r="147" spans="3:12" x14ac:dyDescent="0.25">
      <c r="C147" s="22"/>
      <c r="D147" s="152"/>
      <c r="E147" s="152"/>
      <c r="F147" s="11"/>
      <c r="G147" s="15"/>
      <c r="H147" s="152"/>
      <c r="I147" s="152"/>
      <c r="J147" s="152"/>
      <c r="K147" s="152"/>
      <c r="L147" s="152"/>
    </row>
    <row r="148" spans="3:12" x14ac:dyDescent="0.25">
      <c r="C148" s="22"/>
      <c r="D148" s="152"/>
      <c r="E148" s="152"/>
      <c r="F148" s="11"/>
      <c r="G148" s="15"/>
      <c r="H148" s="152"/>
      <c r="I148" s="152"/>
      <c r="J148" s="152"/>
      <c r="K148" s="152"/>
      <c r="L148" s="152"/>
    </row>
    <row r="149" spans="3:12" x14ac:dyDescent="0.25">
      <c r="C149" s="22"/>
      <c r="D149" s="152"/>
      <c r="E149" s="152"/>
      <c r="F149" s="11"/>
      <c r="G149" s="15"/>
      <c r="H149" s="152"/>
      <c r="I149" s="152"/>
      <c r="J149" s="152"/>
      <c r="K149" s="152"/>
      <c r="L149" s="152"/>
    </row>
    <row r="150" spans="3:12" x14ac:dyDescent="0.25">
      <c r="C150" s="22"/>
      <c r="D150" s="152"/>
      <c r="E150" s="152"/>
      <c r="F150" s="11"/>
      <c r="G150" s="15"/>
      <c r="H150" s="152"/>
      <c r="I150" s="152"/>
      <c r="J150" s="152"/>
      <c r="K150" s="152"/>
      <c r="L150" s="152"/>
    </row>
    <row r="151" spans="3:12" x14ac:dyDescent="0.25">
      <c r="C151" s="22"/>
      <c r="D151" s="152"/>
      <c r="E151" s="152"/>
      <c r="F151" s="11"/>
      <c r="G151" s="15"/>
      <c r="H151" s="152"/>
      <c r="I151" s="152"/>
      <c r="J151" s="152"/>
      <c r="K151" s="152"/>
      <c r="L151" s="152"/>
    </row>
    <row r="152" spans="3:12" x14ac:dyDescent="0.25">
      <c r="C152" s="22"/>
      <c r="D152" s="152"/>
      <c r="E152" s="152"/>
      <c r="F152" s="11"/>
      <c r="G152" s="15"/>
      <c r="H152" s="152"/>
      <c r="I152" s="152"/>
      <c r="J152" s="152"/>
      <c r="K152" s="152"/>
      <c r="L152" s="152"/>
    </row>
    <row r="153" spans="3:12" x14ac:dyDescent="0.25">
      <c r="C153" s="22"/>
      <c r="D153" s="152"/>
      <c r="E153" s="152"/>
      <c r="F153" s="11"/>
      <c r="G153" s="15"/>
      <c r="H153" s="152"/>
      <c r="I153" s="152"/>
      <c r="J153" s="152"/>
      <c r="K153" s="152"/>
      <c r="L153" s="152"/>
    </row>
    <row r="154" spans="3:12" x14ac:dyDescent="0.25">
      <c r="C154" s="22"/>
      <c r="D154" s="152"/>
      <c r="E154" s="152"/>
      <c r="F154" s="11"/>
      <c r="G154" s="15"/>
      <c r="H154" s="152"/>
      <c r="I154" s="152"/>
      <c r="J154" s="152"/>
      <c r="K154" s="152"/>
      <c r="L154" s="152"/>
    </row>
    <row r="155" spans="3:12" x14ac:dyDescent="0.25">
      <c r="C155" s="22"/>
      <c r="D155" s="152"/>
      <c r="E155" s="152"/>
      <c r="F155" s="11"/>
      <c r="G155" s="15"/>
      <c r="H155" s="152"/>
      <c r="I155" s="152"/>
      <c r="J155" s="152"/>
      <c r="K155" s="152"/>
      <c r="L155" s="152"/>
    </row>
    <row r="156" spans="3:12" x14ac:dyDescent="0.25">
      <c r="C156" s="22"/>
      <c r="D156" s="152"/>
      <c r="E156" s="152"/>
      <c r="F156" s="11"/>
      <c r="G156" s="15"/>
      <c r="H156" s="152"/>
      <c r="I156" s="152"/>
      <c r="J156" s="152"/>
      <c r="K156" s="152"/>
      <c r="L156" s="152"/>
    </row>
    <row r="157" spans="3:12" x14ac:dyDescent="0.25">
      <c r="C157" s="22"/>
      <c r="D157" s="152"/>
      <c r="E157" s="152"/>
      <c r="F157" s="11"/>
      <c r="G157" s="15"/>
      <c r="H157" s="152"/>
      <c r="I157" s="152"/>
      <c r="J157" s="152"/>
      <c r="K157" s="152"/>
      <c r="L157" s="152"/>
    </row>
    <row r="158" spans="3:12" x14ac:dyDescent="0.25">
      <c r="C158" s="22"/>
      <c r="D158" s="152"/>
      <c r="E158" s="152"/>
      <c r="F158" s="11"/>
      <c r="G158" s="15"/>
      <c r="H158" s="152"/>
      <c r="I158" s="152"/>
      <c r="J158" s="152"/>
      <c r="K158" s="152"/>
      <c r="L158" s="152"/>
    </row>
    <row r="159" spans="3:12" x14ac:dyDescent="0.25">
      <c r="C159" s="22"/>
      <c r="D159" s="152"/>
      <c r="E159" s="152"/>
      <c r="F159" s="11"/>
      <c r="G159" s="15"/>
      <c r="H159" s="152"/>
      <c r="I159" s="152"/>
      <c r="J159" s="152"/>
      <c r="K159" s="152"/>
      <c r="L159" s="152"/>
    </row>
    <row r="160" spans="3:12" x14ac:dyDescent="0.25">
      <c r="C160" s="22"/>
      <c r="D160" s="152"/>
      <c r="E160" s="152"/>
      <c r="F160" s="11"/>
      <c r="G160" s="15"/>
      <c r="H160" s="152"/>
      <c r="I160" s="152"/>
      <c r="J160" s="152"/>
      <c r="K160" s="152"/>
      <c r="L160" s="152"/>
    </row>
    <row r="161" spans="3:12" x14ac:dyDescent="0.25">
      <c r="C161" s="22"/>
      <c r="D161" s="152"/>
      <c r="E161" s="152"/>
      <c r="F161" s="11"/>
      <c r="G161" s="15"/>
      <c r="H161" s="152"/>
      <c r="I161" s="152"/>
      <c r="J161" s="152"/>
      <c r="K161" s="152"/>
      <c r="L161" s="152"/>
    </row>
    <row r="162" spans="3:12" x14ac:dyDescent="0.25">
      <c r="C162" s="22"/>
      <c r="D162" s="152"/>
      <c r="E162" s="152"/>
      <c r="F162" s="11"/>
      <c r="G162" s="15"/>
      <c r="H162" s="152"/>
      <c r="I162" s="152"/>
      <c r="J162" s="152"/>
      <c r="K162" s="152"/>
      <c r="L162" s="152"/>
    </row>
    <row r="163" spans="3:12" x14ac:dyDescent="0.25">
      <c r="C163" s="22"/>
      <c r="D163" s="152"/>
      <c r="E163" s="152"/>
      <c r="F163" s="11"/>
      <c r="G163" s="15"/>
      <c r="H163" s="152"/>
      <c r="I163" s="152"/>
      <c r="J163" s="152"/>
      <c r="K163" s="152"/>
      <c r="L163" s="152"/>
    </row>
    <row r="164" spans="3:12" x14ac:dyDescent="0.25">
      <c r="C164" s="22"/>
      <c r="D164" s="152"/>
      <c r="E164" s="152"/>
      <c r="F164" s="11"/>
      <c r="G164" s="15"/>
      <c r="H164" s="152"/>
      <c r="I164" s="152"/>
      <c r="J164" s="152"/>
      <c r="K164" s="152"/>
      <c r="L164" s="152"/>
    </row>
    <row r="165" spans="3:12" x14ac:dyDescent="0.25">
      <c r="C165" s="22"/>
      <c r="D165" s="152"/>
      <c r="E165" s="152"/>
      <c r="F165" s="11"/>
      <c r="G165" s="15"/>
      <c r="H165" s="152"/>
      <c r="I165" s="152"/>
      <c r="J165" s="152"/>
      <c r="K165" s="152"/>
      <c r="L165" s="152"/>
    </row>
    <row r="166" spans="3:12" x14ac:dyDescent="0.25">
      <c r="C166" s="22"/>
      <c r="D166" s="152"/>
      <c r="E166" s="152"/>
      <c r="F166" s="11"/>
      <c r="G166" s="15"/>
      <c r="H166" s="152"/>
      <c r="I166" s="152"/>
      <c r="J166" s="152"/>
      <c r="K166" s="152"/>
      <c r="L166" s="152"/>
    </row>
    <row r="167" spans="3:12" x14ac:dyDescent="0.25">
      <c r="C167" s="22"/>
      <c r="D167" s="152"/>
      <c r="E167" s="152"/>
      <c r="F167" s="11"/>
      <c r="G167" s="15"/>
      <c r="H167" s="152"/>
      <c r="I167" s="152"/>
      <c r="J167" s="152"/>
      <c r="K167" s="152"/>
      <c r="L167" s="152"/>
    </row>
    <row r="168" spans="3:12" x14ac:dyDescent="0.25">
      <c r="C168" s="22"/>
      <c r="D168" s="152"/>
      <c r="E168" s="152"/>
      <c r="F168" s="11"/>
      <c r="G168" s="15"/>
      <c r="H168" s="152"/>
      <c r="I168" s="152"/>
      <c r="J168" s="152"/>
      <c r="K168" s="152"/>
      <c r="L168" s="152"/>
    </row>
    <row r="169" spans="3:12" x14ac:dyDescent="0.25">
      <c r="C169" s="22"/>
      <c r="D169" s="152"/>
      <c r="E169" s="152"/>
      <c r="F169" s="11"/>
      <c r="G169" s="15"/>
      <c r="H169" s="152"/>
      <c r="I169" s="152"/>
      <c r="J169" s="152"/>
      <c r="K169" s="152"/>
      <c r="L169" s="152"/>
    </row>
    <row r="170" spans="3:12" x14ac:dyDescent="0.25">
      <c r="C170" s="22"/>
      <c r="D170" s="152"/>
      <c r="E170" s="152"/>
      <c r="F170" s="11"/>
      <c r="G170" s="15"/>
      <c r="H170" s="152"/>
      <c r="I170" s="152"/>
      <c r="J170" s="152"/>
      <c r="K170" s="152"/>
      <c r="L170" s="152"/>
    </row>
    <row r="171" spans="3:12" x14ac:dyDescent="0.25">
      <c r="C171" s="22"/>
      <c r="D171" s="152"/>
      <c r="E171" s="152"/>
      <c r="F171" s="11"/>
      <c r="G171" s="15"/>
      <c r="H171" s="152"/>
      <c r="I171" s="152"/>
      <c r="J171" s="152"/>
      <c r="K171" s="152"/>
      <c r="L171" s="152"/>
    </row>
    <row r="172" spans="3:12" x14ac:dyDescent="0.25">
      <c r="C172" s="22"/>
      <c r="D172" s="152"/>
      <c r="E172" s="152"/>
      <c r="F172" s="11"/>
      <c r="G172" s="15"/>
      <c r="H172" s="152"/>
      <c r="I172" s="152"/>
      <c r="J172" s="152"/>
      <c r="K172" s="152"/>
      <c r="L172" s="152"/>
    </row>
    <row r="173" spans="3:12" x14ac:dyDescent="0.25">
      <c r="C173" s="22"/>
      <c r="D173" s="152"/>
      <c r="E173" s="152"/>
      <c r="F173" s="11"/>
      <c r="G173" s="15"/>
      <c r="H173" s="152"/>
      <c r="I173" s="152"/>
      <c r="J173" s="152"/>
      <c r="K173" s="152"/>
      <c r="L173" s="152"/>
    </row>
    <row r="174" spans="3:12" x14ac:dyDescent="0.25">
      <c r="C174" s="22"/>
      <c r="D174" s="152"/>
      <c r="E174" s="152"/>
      <c r="F174" s="11"/>
      <c r="G174" s="15"/>
      <c r="H174" s="152"/>
      <c r="I174" s="152"/>
      <c r="J174" s="152"/>
      <c r="K174" s="152"/>
      <c r="L174" s="152"/>
    </row>
    <row r="175" spans="3:12" x14ac:dyDescent="0.25">
      <c r="C175" s="22"/>
      <c r="D175" s="152"/>
      <c r="E175" s="152"/>
      <c r="F175" s="11"/>
      <c r="G175" s="15"/>
      <c r="H175" s="152"/>
      <c r="I175" s="152"/>
      <c r="J175" s="152"/>
      <c r="K175" s="152"/>
      <c r="L175" s="152"/>
    </row>
    <row r="176" spans="3:12" x14ac:dyDescent="0.25">
      <c r="C176" s="22"/>
      <c r="D176" s="152"/>
      <c r="E176" s="152"/>
      <c r="F176" s="11"/>
      <c r="G176" s="15"/>
      <c r="H176" s="152"/>
      <c r="I176" s="152"/>
      <c r="J176" s="152"/>
      <c r="K176" s="152"/>
      <c r="L176" s="152"/>
    </row>
    <row r="177" spans="3:12" x14ac:dyDescent="0.25">
      <c r="C177" s="22"/>
      <c r="D177" s="152"/>
      <c r="E177" s="152"/>
      <c r="F177" s="11"/>
      <c r="G177" s="15"/>
      <c r="H177" s="152"/>
      <c r="I177" s="152"/>
      <c r="J177" s="152"/>
      <c r="K177" s="152"/>
      <c r="L177" s="152"/>
    </row>
    <row r="178" spans="3:12" x14ac:dyDescent="0.25">
      <c r="C178" s="22"/>
      <c r="D178" s="152"/>
      <c r="E178" s="152"/>
      <c r="F178" s="11"/>
      <c r="G178" s="15"/>
      <c r="H178" s="152"/>
      <c r="I178" s="152"/>
      <c r="J178" s="152"/>
      <c r="K178" s="152"/>
      <c r="L178" s="152"/>
    </row>
    <row r="179" spans="3:12" x14ac:dyDescent="0.25">
      <c r="C179" s="22"/>
      <c r="D179" s="152"/>
      <c r="E179" s="152"/>
      <c r="F179" s="11"/>
      <c r="G179" s="15"/>
      <c r="H179" s="152"/>
      <c r="I179" s="152"/>
      <c r="J179" s="152"/>
      <c r="K179" s="152"/>
      <c r="L179" s="152"/>
    </row>
    <row r="180" spans="3:12" x14ac:dyDescent="0.25">
      <c r="C180" s="22"/>
      <c r="D180" s="152"/>
      <c r="E180" s="152"/>
      <c r="F180" s="11"/>
      <c r="G180" s="15"/>
      <c r="H180" s="152"/>
      <c r="I180" s="152"/>
      <c r="J180" s="152"/>
      <c r="K180" s="152"/>
      <c r="L180" s="152"/>
    </row>
    <row r="181" spans="3:12" x14ac:dyDescent="0.25">
      <c r="C181" s="22"/>
      <c r="D181" s="152"/>
      <c r="E181" s="152"/>
      <c r="F181" s="11"/>
      <c r="G181" s="15"/>
      <c r="H181" s="152"/>
      <c r="I181" s="152"/>
      <c r="J181" s="152"/>
      <c r="K181" s="152"/>
      <c r="L181" s="152"/>
    </row>
    <row r="182" spans="3:12" x14ac:dyDescent="0.25">
      <c r="C182" s="22"/>
      <c r="D182" s="152"/>
      <c r="E182" s="152"/>
      <c r="F182" s="11"/>
      <c r="G182" s="15"/>
      <c r="H182" s="152"/>
      <c r="I182" s="152"/>
      <c r="J182" s="152"/>
      <c r="K182" s="152"/>
      <c r="L182" s="152"/>
    </row>
    <row r="183" spans="3:12" x14ac:dyDescent="0.25">
      <c r="C183" s="22"/>
      <c r="D183" s="152"/>
      <c r="E183" s="152"/>
      <c r="F183" s="11"/>
      <c r="G183" s="15"/>
      <c r="H183" s="152"/>
      <c r="I183" s="152"/>
      <c r="J183" s="152"/>
      <c r="K183" s="152"/>
      <c r="L183" s="152"/>
    </row>
    <row r="184" spans="3:12" x14ac:dyDescent="0.25">
      <c r="C184" s="22"/>
      <c r="D184" s="152"/>
      <c r="E184" s="152"/>
      <c r="F184" s="11"/>
      <c r="G184" s="15"/>
      <c r="H184" s="152"/>
      <c r="I184" s="152"/>
      <c r="J184" s="152"/>
      <c r="K184" s="152"/>
      <c r="L184" s="152"/>
    </row>
    <row r="185" spans="3:12" x14ac:dyDescent="0.25">
      <c r="C185" s="22"/>
      <c r="D185" s="152"/>
      <c r="E185" s="152"/>
      <c r="F185" s="11"/>
      <c r="G185" s="15"/>
      <c r="H185" s="152"/>
      <c r="I185" s="152"/>
      <c r="J185" s="152"/>
      <c r="K185" s="152"/>
      <c r="L185" s="152"/>
    </row>
    <row r="186" spans="3:12" x14ac:dyDescent="0.25">
      <c r="C186" s="22"/>
      <c r="D186" s="152"/>
      <c r="E186" s="152"/>
      <c r="F186" s="11"/>
      <c r="G186" s="15"/>
      <c r="H186" s="152"/>
      <c r="I186" s="152"/>
      <c r="J186" s="152"/>
      <c r="K186" s="152"/>
      <c r="L186" s="152"/>
    </row>
    <row r="187" spans="3:12" x14ac:dyDescent="0.25">
      <c r="C187" s="22"/>
      <c r="D187" s="152"/>
      <c r="E187" s="152"/>
      <c r="F187" s="11"/>
      <c r="G187" s="15"/>
      <c r="H187" s="152"/>
      <c r="I187" s="152"/>
      <c r="J187" s="152"/>
      <c r="K187" s="152"/>
      <c r="L187" s="152"/>
    </row>
    <row r="188" spans="3:12" x14ac:dyDescent="0.25">
      <c r="C188" s="22"/>
      <c r="D188" s="152"/>
      <c r="E188" s="152"/>
      <c r="F188" s="11"/>
      <c r="G188" s="15"/>
      <c r="H188" s="152"/>
      <c r="I188" s="152"/>
      <c r="J188" s="152"/>
      <c r="K188" s="152"/>
      <c r="L188" s="152"/>
    </row>
    <row r="189" spans="3:12" x14ac:dyDescent="0.25">
      <c r="C189" s="22"/>
      <c r="D189" s="152"/>
      <c r="E189" s="152"/>
      <c r="F189" s="11"/>
      <c r="G189" s="15"/>
      <c r="H189" s="152"/>
      <c r="I189" s="152"/>
      <c r="J189" s="152"/>
      <c r="K189" s="152"/>
      <c r="L189" s="152"/>
    </row>
    <row r="190" spans="3:12" x14ac:dyDescent="0.25">
      <c r="C190" s="22"/>
      <c r="D190" s="152"/>
      <c r="E190" s="152"/>
      <c r="F190" s="11"/>
      <c r="G190" s="15"/>
      <c r="H190" s="152"/>
      <c r="I190" s="152"/>
      <c r="J190" s="152"/>
      <c r="K190" s="152"/>
      <c r="L190" s="152"/>
    </row>
    <row r="191" spans="3:12" x14ac:dyDescent="0.25">
      <c r="C191" s="22"/>
      <c r="D191" s="152"/>
      <c r="E191" s="152"/>
      <c r="F191" s="11"/>
      <c r="G191" s="15"/>
      <c r="H191" s="152"/>
      <c r="I191" s="152"/>
      <c r="J191" s="152"/>
      <c r="K191" s="152"/>
      <c r="L191" s="152"/>
    </row>
    <row r="192" spans="3:12" x14ac:dyDescent="0.25">
      <c r="C192" s="22"/>
      <c r="D192" s="152"/>
      <c r="E192" s="152"/>
      <c r="F192" s="11"/>
      <c r="G192" s="15"/>
      <c r="H192" s="152"/>
      <c r="I192" s="152"/>
      <c r="J192" s="152"/>
      <c r="K192" s="152"/>
      <c r="L192" s="152"/>
    </row>
    <row r="193" spans="3:12" x14ac:dyDescent="0.25">
      <c r="C193" s="22"/>
      <c r="D193" s="152"/>
      <c r="E193" s="152"/>
      <c r="F193" s="11"/>
      <c r="G193" s="15"/>
      <c r="H193" s="152"/>
      <c r="I193" s="152"/>
      <c r="J193" s="152"/>
      <c r="K193" s="152"/>
      <c r="L193" s="152"/>
    </row>
    <row r="194" spans="3:12" x14ac:dyDescent="0.25">
      <c r="C194" s="22"/>
      <c r="D194" s="152"/>
      <c r="E194" s="152"/>
      <c r="F194" s="11"/>
      <c r="G194" s="15"/>
      <c r="H194" s="152"/>
      <c r="I194" s="152"/>
      <c r="J194" s="152"/>
      <c r="K194" s="152"/>
      <c r="L194" s="152"/>
    </row>
    <row r="195" spans="3:12" x14ac:dyDescent="0.25">
      <c r="C195" s="22"/>
      <c r="D195" s="152"/>
      <c r="E195" s="152"/>
      <c r="F195" s="11"/>
      <c r="G195" s="15"/>
      <c r="H195" s="152"/>
      <c r="I195" s="152"/>
      <c r="J195" s="152"/>
      <c r="K195" s="152"/>
      <c r="L195" s="152"/>
    </row>
    <row r="196" spans="3:12" x14ac:dyDescent="0.25">
      <c r="C196" s="22"/>
      <c r="D196" s="152"/>
      <c r="E196" s="152"/>
      <c r="F196" s="11"/>
      <c r="G196" s="15"/>
      <c r="H196" s="152"/>
      <c r="I196" s="152"/>
      <c r="J196" s="152"/>
      <c r="K196" s="152"/>
      <c r="L196" s="152"/>
    </row>
    <row r="197" spans="3:12" x14ac:dyDescent="0.25">
      <c r="C197" s="22"/>
      <c r="D197" s="152"/>
      <c r="E197" s="152"/>
      <c r="F197" s="11"/>
      <c r="G197" s="15"/>
      <c r="H197" s="152"/>
      <c r="I197" s="152"/>
      <c r="J197" s="152"/>
      <c r="K197" s="152"/>
      <c r="L197" s="152"/>
    </row>
    <row r="198" spans="3:12" x14ac:dyDescent="0.25">
      <c r="C198" s="22"/>
      <c r="D198" s="152"/>
      <c r="E198" s="152"/>
      <c r="F198" s="11"/>
      <c r="G198" s="15"/>
      <c r="H198" s="152"/>
      <c r="I198" s="152"/>
      <c r="J198" s="152"/>
      <c r="K198" s="152"/>
      <c r="L198" s="152"/>
    </row>
    <row r="199" spans="3:12" x14ac:dyDescent="0.25">
      <c r="C199" s="22"/>
      <c r="D199" s="152"/>
      <c r="E199" s="152"/>
      <c r="F199" s="11"/>
      <c r="G199" s="15"/>
      <c r="H199" s="152"/>
      <c r="I199" s="152"/>
      <c r="J199" s="152"/>
      <c r="K199" s="152"/>
      <c r="L199" s="152"/>
    </row>
    <row r="200" spans="3:12" x14ac:dyDescent="0.25">
      <c r="C200" s="22"/>
      <c r="D200" s="152"/>
      <c r="E200" s="152"/>
      <c r="F200" s="11"/>
      <c r="G200" s="15"/>
      <c r="H200" s="152"/>
      <c r="I200" s="152"/>
      <c r="J200" s="152"/>
      <c r="K200" s="152"/>
      <c r="L200" s="152"/>
    </row>
    <row r="201" spans="3:12" x14ac:dyDescent="0.25">
      <c r="C201" s="22"/>
      <c r="D201" s="152"/>
      <c r="E201" s="152"/>
      <c r="F201" s="11"/>
      <c r="G201" s="15"/>
      <c r="H201" s="152"/>
      <c r="I201" s="152"/>
      <c r="J201" s="152"/>
      <c r="K201" s="152"/>
      <c r="L201" s="152"/>
    </row>
    <row r="202" spans="3:12" x14ac:dyDescent="0.25">
      <c r="C202" s="22"/>
      <c r="D202" s="152"/>
      <c r="E202" s="152"/>
      <c r="F202" s="11"/>
      <c r="G202" s="15"/>
      <c r="H202" s="152"/>
      <c r="I202" s="152"/>
      <c r="J202" s="152"/>
      <c r="K202" s="152"/>
      <c r="L202" s="152"/>
    </row>
    <row r="203" spans="3:12" x14ac:dyDescent="0.25">
      <c r="C203" s="22"/>
      <c r="D203" s="152"/>
      <c r="E203" s="152"/>
      <c r="F203" s="11"/>
      <c r="G203" s="15"/>
      <c r="H203" s="152"/>
      <c r="I203" s="152"/>
      <c r="J203" s="152"/>
      <c r="K203" s="152"/>
      <c r="L203" s="152"/>
    </row>
    <row r="204" spans="3:12" x14ac:dyDescent="0.25">
      <c r="C204" s="22"/>
      <c r="D204" s="152"/>
      <c r="E204" s="152"/>
      <c r="F204" s="11"/>
      <c r="G204" s="15"/>
      <c r="H204" s="152"/>
      <c r="I204" s="152"/>
      <c r="J204" s="152"/>
      <c r="K204" s="152"/>
      <c r="L204" s="152"/>
    </row>
    <row r="205" spans="3:12" x14ac:dyDescent="0.25">
      <c r="C205" s="22"/>
      <c r="D205" s="152"/>
      <c r="E205" s="152"/>
      <c r="F205" s="11"/>
      <c r="G205" s="15"/>
      <c r="H205" s="152"/>
      <c r="I205" s="152"/>
      <c r="J205" s="152"/>
      <c r="K205" s="152"/>
      <c r="L205" s="152"/>
    </row>
    <row r="206" spans="3:12" x14ac:dyDescent="0.25">
      <c r="C206" s="22"/>
      <c r="D206" s="152"/>
      <c r="E206" s="152"/>
      <c r="F206" s="11"/>
      <c r="G206" s="15"/>
      <c r="H206" s="152"/>
      <c r="I206" s="152"/>
      <c r="J206" s="152"/>
      <c r="K206" s="152"/>
      <c r="L206" s="152"/>
    </row>
    <row r="207" spans="3:12" x14ac:dyDescent="0.25">
      <c r="C207" s="22"/>
      <c r="D207" s="152"/>
      <c r="E207" s="152"/>
      <c r="F207" s="11"/>
      <c r="G207" s="15"/>
      <c r="H207" s="152"/>
      <c r="I207" s="152"/>
      <c r="J207" s="152"/>
      <c r="K207" s="152"/>
      <c r="L207" s="152"/>
    </row>
    <row r="208" spans="3:12" x14ac:dyDescent="0.25">
      <c r="C208" s="22"/>
      <c r="D208" s="152"/>
      <c r="E208" s="152"/>
      <c r="F208" s="11"/>
      <c r="G208" s="15"/>
      <c r="H208" s="152"/>
      <c r="I208" s="152"/>
      <c r="J208" s="152"/>
      <c r="K208" s="152"/>
      <c r="L208" s="152"/>
    </row>
    <row r="209" spans="3:12" x14ac:dyDescent="0.25">
      <c r="C209" s="22"/>
      <c r="D209" s="152"/>
      <c r="E209" s="152"/>
      <c r="F209" s="11"/>
      <c r="G209" s="15"/>
      <c r="H209" s="152"/>
      <c r="I209" s="152"/>
      <c r="J209" s="152"/>
      <c r="K209" s="152"/>
      <c r="L209" s="152"/>
    </row>
    <row r="210" spans="3:12" x14ac:dyDescent="0.25">
      <c r="C210" s="22"/>
      <c r="D210" s="152"/>
      <c r="E210" s="152"/>
      <c r="F210" s="11"/>
      <c r="G210" s="15"/>
      <c r="H210" s="152"/>
      <c r="I210" s="152"/>
      <c r="J210" s="152"/>
      <c r="K210" s="152"/>
      <c r="L210" s="152"/>
    </row>
    <row r="211" spans="3:12" x14ac:dyDescent="0.25">
      <c r="C211" s="22"/>
      <c r="D211" s="152"/>
      <c r="E211" s="152"/>
      <c r="F211" s="11"/>
      <c r="G211" s="15"/>
      <c r="H211" s="152"/>
      <c r="I211" s="152"/>
      <c r="J211" s="152"/>
      <c r="K211" s="152"/>
      <c r="L211" s="152"/>
    </row>
    <row r="212" spans="3:12" x14ac:dyDescent="0.25">
      <c r="C212" s="22"/>
      <c r="D212" s="152"/>
      <c r="E212" s="152"/>
      <c r="F212" s="11"/>
      <c r="G212" s="15"/>
      <c r="H212" s="152"/>
      <c r="I212" s="152"/>
      <c r="J212" s="152"/>
      <c r="K212" s="152"/>
      <c r="L212" s="152"/>
    </row>
    <row r="213" spans="3:12" x14ac:dyDescent="0.25">
      <c r="C213" s="22"/>
      <c r="D213" s="152"/>
      <c r="E213" s="152"/>
      <c r="F213" s="11"/>
      <c r="G213" s="15"/>
      <c r="H213" s="152"/>
      <c r="I213" s="152"/>
      <c r="J213" s="152"/>
      <c r="K213" s="152"/>
      <c r="L213" s="152"/>
    </row>
    <row r="214" spans="3:12" x14ac:dyDescent="0.25">
      <c r="C214" s="22"/>
      <c r="D214" s="152"/>
      <c r="E214" s="152"/>
      <c r="F214" s="11"/>
      <c r="G214" s="15"/>
      <c r="H214" s="152"/>
      <c r="I214" s="152"/>
      <c r="J214" s="152"/>
      <c r="K214" s="152"/>
      <c r="L214" s="152"/>
    </row>
    <row r="215" spans="3:12" x14ac:dyDescent="0.25">
      <c r="C215" s="22"/>
      <c r="D215" s="152"/>
      <c r="E215" s="152"/>
      <c r="F215" s="11"/>
      <c r="G215" s="15"/>
      <c r="H215" s="152"/>
      <c r="I215" s="152"/>
      <c r="J215" s="152"/>
      <c r="K215" s="152"/>
      <c r="L215" s="152"/>
    </row>
    <row r="216" spans="3:12" x14ac:dyDescent="0.25">
      <c r="C216" s="22"/>
      <c r="D216" s="152"/>
      <c r="E216" s="152"/>
      <c r="F216" s="11"/>
      <c r="G216" s="15"/>
      <c r="H216" s="152"/>
      <c r="I216" s="152"/>
      <c r="J216" s="152"/>
      <c r="K216" s="152"/>
      <c r="L216" s="152"/>
    </row>
    <row r="217" spans="3:12" x14ac:dyDescent="0.25">
      <c r="C217" s="22"/>
      <c r="D217" s="152"/>
      <c r="E217" s="152"/>
      <c r="F217" s="11"/>
      <c r="G217" s="15"/>
      <c r="H217" s="152"/>
      <c r="I217" s="152"/>
      <c r="J217" s="152"/>
      <c r="K217" s="152"/>
      <c r="L217" s="152"/>
    </row>
    <row r="218" spans="3:12" x14ac:dyDescent="0.25">
      <c r="C218" s="22"/>
      <c r="D218" s="152"/>
      <c r="E218" s="152"/>
      <c r="F218" s="11"/>
      <c r="G218" s="15"/>
      <c r="H218" s="152"/>
      <c r="I218" s="152"/>
      <c r="J218" s="152"/>
      <c r="K218" s="152"/>
      <c r="L218" s="152"/>
    </row>
    <row r="219" spans="3:12" x14ac:dyDescent="0.25">
      <c r="C219" s="22"/>
      <c r="D219" s="152"/>
      <c r="E219" s="152"/>
      <c r="F219" s="11"/>
      <c r="G219" s="15"/>
      <c r="H219" s="152"/>
      <c r="I219" s="152"/>
      <c r="J219" s="152"/>
      <c r="K219" s="152"/>
      <c r="L219" s="152"/>
    </row>
    <row r="220" spans="3:12" x14ac:dyDescent="0.25">
      <c r="C220" s="22"/>
      <c r="D220" s="152"/>
      <c r="E220" s="152"/>
      <c r="F220" s="11"/>
      <c r="G220" s="15"/>
      <c r="H220" s="152"/>
      <c r="I220" s="152"/>
      <c r="J220" s="152"/>
      <c r="K220" s="152"/>
      <c r="L220" s="152"/>
    </row>
    <row r="221" spans="3:12" x14ac:dyDescent="0.25">
      <c r="C221" s="22"/>
      <c r="D221" s="152"/>
      <c r="E221" s="152"/>
      <c r="F221" s="11"/>
      <c r="G221" s="15"/>
      <c r="H221" s="152"/>
    </row>
    <row r="222" spans="3:12" x14ac:dyDescent="0.25">
      <c r="C222" s="22"/>
      <c r="D222" s="152"/>
      <c r="E222" s="152"/>
      <c r="F222" s="11"/>
      <c r="G222" s="15"/>
      <c r="H222" s="152"/>
    </row>
    <row r="223" spans="3:12" x14ac:dyDescent="0.25">
      <c r="C223" s="22"/>
      <c r="D223" s="152"/>
      <c r="E223" s="152"/>
      <c r="F223" s="11"/>
      <c r="G223" s="15"/>
      <c r="H223" s="152"/>
    </row>
    <row r="224" spans="3:12" x14ac:dyDescent="0.25">
      <c r="C224" s="22"/>
      <c r="D224" s="152"/>
      <c r="E224" s="152"/>
      <c r="F224" s="11"/>
      <c r="G224" s="15"/>
      <c r="H224" s="152"/>
    </row>
    <row r="225" spans="3:8" x14ac:dyDescent="0.25">
      <c r="C225" s="22"/>
      <c r="D225" s="152"/>
      <c r="E225" s="152"/>
      <c r="F225" s="11"/>
      <c r="G225" s="15"/>
      <c r="H225" s="152"/>
    </row>
    <row r="226" spans="3:8" x14ac:dyDescent="0.25">
      <c r="C226" s="22"/>
      <c r="D226" s="152"/>
      <c r="E226" s="152"/>
      <c r="F226" s="11"/>
      <c r="G226" s="15"/>
      <c r="H226" s="152"/>
    </row>
    <row r="227" spans="3:8" x14ac:dyDescent="0.25">
      <c r="C227" s="22"/>
      <c r="D227" s="152"/>
      <c r="E227" s="152"/>
      <c r="F227" s="11"/>
      <c r="G227" s="15"/>
      <c r="H227" s="152"/>
    </row>
    <row r="228" spans="3:8" x14ac:dyDescent="0.25">
      <c r="C228" s="22"/>
      <c r="D228" s="152"/>
      <c r="E228" s="152"/>
      <c r="F228" s="11"/>
      <c r="G228" s="15"/>
      <c r="H228" s="152"/>
    </row>
    <row r="229" spans="3:8" x14ac:dyDescent="0.25">
      <c r="C229" s="22"/>
      <c r="D229" s="152"/>
      <c r="E229" s="152"/>
      <c r="F229" s="11"/>
      <c r="G229" s="15"/>
      <c r="H229" s="152"/>
    </row>
    <row r="230" spans="3:8" x14ac:dyDescent="0.25">
      <c r="C230" s="22"/>
      <c r="D230" s="152"/>
      <c r="E230" s="152"/>
      <c r="F230" s="11"/>
      <c r="G230" s="15"/>
      <c r="H230" s="152"/>
    </row>
    <row r="231" spans="3:8" x14ac:dyDescent="0.25">
      <c r="C231" s="22"/>
      <c r="D231" s="152"/>
      <c r="E231" s="152"/>
      <c r="F231" s="11"/>
      <c r="G231" s="15"/>
      <c r="H231" s="152"/>
    </row>
    <row r="232" spans="3:8" x14ac:dyDescent="0.25">
      <c r="C232" s="22"/>
      <c r="D232" s="152"/>
      <c r="E232" s="152"/>
      <c r="F232" s="11"/>
      <c r="G232" s="15"/>
      <c r="H232" s="152"/>
    </row>
    <row r="233" spans="3:8" x14ac:dyDescent="0.25">
      <c r="C233" s="22"/>
      <c r="D233" s="152"/>
      <c r="E233" s="152"/>
      <c r="F233" s="11"/>
      <c r="G233" s="15"/>
      <c r="H233" s="152"/>
    </row>
    <row r="234" spans="3:8" x14ac:dyDescent="0.25">
      <c r="C234" s="22"/>
      <c r="D234" s="152"/>
      <c r="E234" s="152"/>
      <c r="F234" s="11"/>
      <c r="G234" s="15"/>
      <c r="H234" s="152"/>
    </row>
    <row r="235" spans="3:8" x14ac:dyDescent="0.25">
      <c r="C235" s="22"/>
      <c r="D235" s="152"/>
      <c r="E235" s="152"/>
      <c r="F235" s="11"/>
      <c r="G235" s="15"/>
    </row>
    <row r="236" spans="3:8" x14ac:dyDescent="0.25">
      <c r="C236" s="22"/>
      <c r="D236" s="152"/>
      <c r="E236" s="152"/>
      <c r="F236" s="11"/>
      <c r="G236" s="15"/>
    </row>
    <row r="237" spans="3:8" x14ac:dyDescent="0.25">
      <c r="C237" s="22"/>
      <c r="D237" s="152"/>
      <c r="E237" s="152"/>
      <c r="F237" s="11"/>
      <c r="G237" s="15"/>
    </row>
    <row r="238" spans="3:8" x14ac:dyDescent="0.25">
      <c r="C238" s="22"/>
      <c r="D238" s="152"/>
      <c r="E238" s="152"/>
      <c r="F238" s="11"/>
      <c r="G238" s="15"/>
    </row>
    <row r="239" spans="3:8" x14ac:dyDescent="0.25">
      <c r="C239" s="22"/>
      <c r="D239" s="152"/>
      <c r="E239" s="152"/>
      <c r="F239" s="11"/>
      <c r="G239" s="15"/>
    </row>
    <row r="240" spans="3:8" x14ac:dyDescent="0.25">
      <c r="C240" s="22"/>
      <c r="D240" s="152"/>
      <c r="E240" s="152"/>
      <c r="F240" s="11"/>
      <c r="G240" s="15"/>
    </row>
    <row r="241" spans="3:7" x14ac:dyDescent="0.25">
      <c r="C241" s="22"/>
      <c r="D241" s="152"/>
      <c r="E241" s="152"/>
      <c r="F241" s="11"/>
      <c r="G241" s="15"/>
    </row>
    <row r="242" spans="3:7" x14ac:dyDescent="0.25">
      <c r="C242" s="22"/>
      <c r="D242" s="152"/>
      <c r="E242" s="152"/>
      <c r="F242" s="11"/>
      <c r="G242" s="15"/>
    </row>
    <row r="243" spans="3:7" x14ac:dyDescent="0.25">
      <c r="C243" s="22"/>
      <c r="D243" s="152"/>
      <c r="E243" s="152"/>
      <c r="F243" s="11"/>
      <c r="G243" s="15"/>
    </row>
    <row r="244" spans="3:7" x14ac:dyDescent="0.25">
      <c r="C244" s="22"/>
      <c r="D244" s="152"/>
      <c r="E244" s="152"/>
      <c r="F244" s="11"/>
      <c r="G244" s="15"/>
    </row>
    <row r="245" spans="3:7" x14ac:dyDescent="0.25">
      <c r="C245" s="22"/>
      <c r="D245" s="152"/>
      <c r="E245" s="152"/>
      <c r="F245" s="11"/>
      <c r="G245" s="15"/>
    </row>
    <row r="246" spans="3:7" x14ac:dyDescent="0.25">
      <c r="C246" s="22"/>
      <c r="D246" s="152"/>
      <c r="E246" s="152"/>
      <c r="F246" s="11"/>
      <c r="G246" s="15"/>
    </row>
    <row r="247" spans="3:7" x14ac:dyDescent="0.25">
      <c r="C247" s="22"/>
      <c r="D247" s="152"/>
      <c r="E247" s="152"/>
      <c r="F247" s="11"/>
      <c r="G247" s="15"/>
    </row>
    <row r="248" spans="3:7" x14ac:dyDescent="0.25">
      <c r="C248" s="22"/>
      <c r="D248" s="152"/>
      <c r="E248" s="152"/>
      <c r="F248" s="11"/>
      <c r="G248" s="15"/>
    </row>
    <row r="249" spans="3:7" x14ac:dyDescent="0.25">
      <c r="C249" s="22"/>
      <c r="D249" s="152"/>
      <c r="E249" s="152"/>
      <c r="F249" s="11"/>
      <c r="G249" s="15"/>
    </row>
    <row r="250" spans="3:7" x14ac:dyDescent="0.25">
      <c r="C250" s="22"/>
      <c r="D250" s="152"/>
      <c r="E250" s="152"/>
      <c r="F250" s="11"/>
      <c r="G250" s="15"/>
    </row>
    <row r="251" spans="3:7" x14ac:dyDescent="0.25">
      <c r="C251" s="22"/>
      <c r="D251" s="152"/>
      <c r="E251" s="152"/>
      <c r="F251" s="11"/>
      <c r="G251" s="15"/>
    </row>
    <row r="252" spans="3:7" x14ac:dyDescent="0.25">
      <c r="C252" s="22"/>
      <c r="D252" s="152"/>
      <c r="E252" s="152"/>
      <c r="F252" s="11"/>
      <c r="G252" s="15"/>
    </row>
    <row r="253" spans="3:7" x14ac:dyDescent="0.25">
      <c r="C253" s="22"/>
      <c r="D253" s="152"/>
      <c r="E253" s="152"/>
      <c r="F253" s="11"/>
      <c r="G253" s="15"/>
    </row>
    <row r="254" spans="3:7" x14ac:dyDescent="0.25">
      <c r="C254" s="22"/>
      <c r="D254" s="152"/>
      <c r="E254" s="152"/>
      <c r="F254" s="11"/>
      <c r="G254" s="15"/>
    </row>
    <row r="255" spans="3:7" x14ac:dyDescent="0.25">
      <c r="C255" s="22"/>
      <c r="D255" s="152"/>
      <c r="E255" s="152"/>
      <c r="F255" s="11"/>
      <c r="G255" s="15"/>
    </row>
    <row r="256" spans="3:7" x14ac:dyDescent="0.25">
      <c r="C256" s="22"/>
      <c r="D256" s="152"/>
      <c r="E256" s="152"/>
      <c r="F256" s="11"/>
      <c r="G256" s="15"/>
    </row>
    <row r="257" spans="3:7" x14ac:dyDescent="0.25">
      <c r="C257" s="22"/>
      <c r="D257" s="152"/>
      <c r="E257" s="152"/>
      <c r="F257" s="11"/>
      <c r="G257" s="15"/>
    </row>
    <row r="258" spans="3:7" x14ac:dyDescent="0.25">
      <c r="C258" s="22"/>
      <c r="D258" s="152"/>
      <c r="E258" s="152"/>
      <c r="F258" s="11"/>
      <c r="G258" s="15"/>
    </row>
    <row r="259" spans="3:7" x14ac:dyDescent="0.25">
      <c r="C259" s="22"/>
      <c r="D259" s="152"/>
      <c r="E259" s="152"/>
      <c r="F259" s="11"/>
      <c r="G259" s="15"/>
    </row>
    <row r="260" spans="3:7" x14ac:dyDescent="0.25">
      <c r="C260" s="22"/>
      <c r="D260" s="152"/>
      <c r="E260" s="152"/>
      <c r="F260" s="11"/>
      <c r="G260" s="15"/>
    </row>
    <row r="261" spans="3:7" x14ac:dyDescent="0.25">
      <c r="C261" s="22"/>
      <c r="D261" s="152"/>
      <c r="E261" s="152"/>
      <c r="F261" s="11"/>
      <c r="G261" s="15"/>
    </row>
    <row r="262" spans="3:7" x14ac:dyDescent="0.25">
      <c r="C262" s="22"/>
      <c r="D262" s="152"/>
      <c r="E262" s="152"/>
      <c r="F262" s="11"/>
      <c r="G262" s="15"/>
    </row>
    <row r="263" spans="3:7" x14ac:dyDescent="0.25">
      <c r="C263" s="22"/>
      <c r="D263" s="152"/>
      <c r="E263" s="152"/>
      <c r="F263" s="11"/>
      <c r="G263" s="15"/>
    </row>
    <row r="264" spans="3:7" x14ac:dyDescent="0.25">
      <c r="C264" s="22"/>
      <c r="D264" s="152"/>
      <c r="E264" s="152"/>
      <c r="F264" s="11"/>
      <c r="G264" s="15"/>
    </row>
    <row r="265" spans="3:7" x14ac:dyDescent="0.25">
      <c r="C265" s="22"/>
      <c r="D265" s="152"/>
      <c r="E265" s="152"/>
      <c r="F265" s="11"/>
      <c r="G265" s="15"/>
    </row>
    <row r="266" spans="3:7" x14ac:dyDescent="0.25">
      <c r="C266" s="22"/>
      <c r="D266" s="152"/>
      <c r="E266" s="152"/>
      <c r="F266" s="11"/>
      <c r="G266" s="15"/>
    </row>
    <row r="267" spans="3:7" x14ac:dyDescent="0.25">
      <c r="C267" s="22"/>
      <c r="D267" s="152"/>
      <c r="E267" s="152"/>
      <c r="F267" s="11"/>
      <c r="G267" s="15"/>
    </row>
    <row r="268" spans="3:7" x14ac:dyDescent="0.25">
      <c r="C268" s="22"/>
      <c r="D268" s="152"/>
      <c r="E268" s="152"/>
      <c r="F268" s="11"/>
      <c r="G268" s="15"/>
    </row>
    <row r="269" spans="3:7" x14ac:dyDescent="0.25">
      <c r="C269" s="22"/>
      <c r="D269" s="152"/>
      <c r="E269" s="152"/>
      <c r="F269" s="11"/>
      <c r="G269" s="15"/>
    </row>
    <row r="270" spans="3:7" x14ac:dyDescent="0.25">
      <c r="C270" s="22"/>
      <c r="D270" s="152"/>
      <c r="E270" s="152"/>
      <c r="F270" s="11"/>
      <c r="G270" s="15"/>
    </row>
    <row r="271" spans="3:7" x14ac:dyDescent="0.25">
      <c r="C271" s="22"/>
      <c r="D271" s="152"/>
      <c r="E271" s="152"/>
      <c r="F271" s="11"/>
      <c r="G271" s="15"/>
    </row>
    <row r="272" spans="3:7" x14ac:dyDescent="0.25">
      <c r="C272" s="22"/>
      <c r="D272" s="152"/>
      <c r="E272" s="152"/>
      <c r="F272" s="11"/>
      <c r="G272" s="15"/>
    </row>
    <row r="273" spans="3:7" x14ac:dyDescent="0.25">
      <c r="C273" s="22"/>
      <c r="D273" s="152"/>
      <c r="E273" s="152"/>
      <c r="F273" s="11"/>
      <c r="G273" s="15"/>
    </row>
    <row r="274" spans="3:7" x14ac:dyDescent="0.25">
      <c r="C274" s="22"/>
      <c r="D274" s="152"/>
      <c r="E274" s="152"/>
      <c r="F274" s="11"/>
      <c r="G274" s="15"/>
    </row>
    <row r="275" spans="3:7" x14ac:dyDescent="0.25">
      <c r="C275" s="22"/>
      <c r="D275" s="152"/>
      <c r="E275" s="152"/>
      <c r="F275" s="11"/>
      <c r="G275" s="15"/>
    </row>
    <row r="276" spans="3:7" x14ac:dyDescent="0.25">
      <c r="C276" s="22"/>
      <c r="D276" s="152"/>
      <c r="E276" s="152"/>
      <c r="F276" s="11"/>
      <c r="G276" s="15"/>
    </row>
    <row r="277" spans="3:7" x14ac:dyDescent="0.25">
      <c r="C277" s="22"/>
      <c r="D277" s="152"/>
      <c r="E277" s="152"/>
      <c r="F277" s="11"/>
      <c r="G277" s="15"/>
    </row>
    <row r="278" spans="3:7" x14ac:dyDescent="0.25">
      <c r="C278" s="22"/>
      <c r="D278" s="152"/>
      <c r="E278" s="152"/>
      <c r="F278" s="11"/>
      <c r="G278" s="15"/>
    </row>
    <row r="279" spans="3:7" x14ac:dyDescent="0.25">
      <c r="C279" s="22"/>
      <c r="D279" s="152"/>
      <c r="E279" s="152"/>
      <c r="F279" s="11"/>
      <c r="G279" s="15"/>
    </row>
    <row r="280" spans="3:7" x14ac:dyDescent="0.25">
      <c r="C280" s="22"/>
      <c r="D280" s="152"/>
      <c r="E280" s="152"/>
      <c r="F280" s="11"/>
      <c r="G280" s="15"/>
    </row>
    <row r="281" spans="3:7" x14ac:dyDescent="0.25">
      <c r="C281" s="22"/>
      <c r="D281" s="152"/>
      <c r="E281" s="152"/>
      <c r="F281" s="11"/>
      <c r="G281" s="15"/>
    </row>
    <row r="282" spans="3:7" x14ac:dyDescent="0.25">
      <c r="C282" s="22"/>
      <c r="D282" s="152"/>
      <c r="E282" s="152"/>
      <c r="F282" s="11"/>
      <c r="G282" s="15"/>
    </row>
    <row r="283" spans="3:7" x14ac:dyDescent="0.25">
      <c r="C283" s="22"/>
      <c r="D283" s="152"/>
      <c r="E283" s="152"/>
      <c r="F283" s="11"/>
      <c r="G283" s="15"/>
    </row>
    <row r="284" spans="3:7" x14ac:dyDescent="0.25">
      <c r="C284" s="22"/>
      <c r="D284" s="152"/>
      <c r="E284" s="152"/>
      <c r="F284" s="11"/>
      <c r="G284" s="15"/>
    </row>
    <row r="285" spans="3:7" x14ac:dyDescent="0.25">
      <c r="C285" s="22"/>
      <c r="D285" s="152"/>
      <c r="E285" s="152"/>
      <c r="F285" s="11"/>
      <c r="G285" s="15"/>
    </row>
    <row r="286" spans="3:7" x14ac:dyDescent="0.25">
      <c r="C286" s="22"/>
      <c r="D286" s="152"/>
      <c r="E286" s="152"/>
      <c r="F286" s="11"/>
      <c r="G286" s="15"/>
    </row>
    <row r="287" spans="3:7" x14ac:dyDescent="0.25">
      <c r="C287" s="22"/>
      <c r="D287" s="152"/>
      <c r="E287" s="152"/>
      <c r="F287" s="11"/>
      <c r="G287" s="15"/>
    </row>
    <row r="288" spans="3:7" x14ac:dyDescent="0.25">
      <c r="C288" s="22"/>
      <c r="D288" s="152"/>
      <c r="E288" s="152"/>
      <c r="F288" s="11"/>
      <c r="G288" s="15"/>
    </row>
    <row r="289" spans="3:7" x14ac:dyDescent="0.25">
      <c r="C289" s="22"/>
      <c r="D289" s="152"/>
      <c r="E289" s="152"/>
      <c r="F289" s="11"/>
      <c r="G289" s="15"/>
    </row>
    <row r="290" spans="3:7" x14ac:dyDescent="0.25">
      <c r="C290" s="22"/>
      <c r="D290" s="152"/>
      <c r="E290" s="152"/>
      <c r="F290" s="11"/>
      <c r="G290" s="15"/>
    </row>
    <row r="291" spans="3:7" x14ac:dyDescent="0.25">
      <c r="C291" s="22"/>
      <c r="D291" s="152"/>
      <c r="E291" s="152"/>
      <c r="F291" s="11"/>
      <c r="G291" s="15"/>
    </row>
    <row r="292" spans="3:7" x14ac:dyDescent="0.25">
      <c r="C292" s="22"/>
      <c r="D292" s="152"/>
      <c r="E292" s="152"/>
      <c r="F292" s="11"/>
      <c r="G292" s="15"/>
    </row>
    <row r="293" spans="3:7" x14ac:dyDescent="0.25">
      <c r="C293" s="22"/>
      <c r="D293" s="152"/>
      <c r="E293" s="152"/>
      <c r="F293" s="11"/>
      <c r="G293" s="15"/>
    </row>
    <row r="294" spans="3:7" x14ac:dyDescent="0.25">
      <c r="C294" s="22"/>
      <c r="D294" s="152"/>
      <c r="E294" s="152"/>
      <c r="F294" s="11"/>
      <c r="G294" s="15"/>
    </row>
    <row r="295" spans="3:7" x14ac:dyDescent="0.25">
      <c r="C295" s="22"/>
      <c r="D295" s="152"/>
      <c r="E295" s="152"/>
      <c r="F295" s="11"/>
      <c r="G295" s="15"/>
    </row>
    <row r="296" spans="3:7" x14ac:dyDescent="0.25">
      <c r="C296" s="22"/>
      <c r="D296" s="152"/>
      <c r="E296" s="152"/>
      <c r="F296" s="11"/>
      <c r="G296" s="15"/>
    </row>
    <row r="297" spans="3:7" x14ac:dyDescent="0.25">
      <c r="C297" s="22"/>
      <c r="D297" s="152"/>
      <c r="E297" s="152"/>
      <c r="F297" s="11"/>
      <c r="G297" s="15"/>
    </row>
    <row r="298" spans="3:7" x14ac:dyDescent="0.25">
      <c r="C298" s="22"/>
      <c r="D298" s="152"/>
      <c r="E298" s="152"/>
      <c r="F298" s="11"/>
      <c r="G298" s="15"/>
    </row>
    <row r="299" spans="3:7" x14ac:dyDescent="0.25">
      <c r="C299" s="22"/>
      <c r="D299" s="152"/>
      <c r="E299" s="152"/>
      <c r="F299" s="11"/>
      <c r="G299" s="15"/>
    </row>
    <row r="300" spans="3:7" x14ac:dyDescent="0.25">
      <c r="C300" s="22"/>
      <c r="D300" s="152"/>
      <c r="E300" s="152"/>
      <c r="F300" s="11"/>
      <c r="G300" s="15"/>
    </row>
    <row r="301" spans="3:7" x14ac:dyDescent="0.25">
      <c r="C301" s="22"/>
      <c r="D301" s="152"/>
      <c r="E301" s="152"/>
      <c r="F301" s="11"/>
      <c r="G301" s="15"/>
    </row>
    <row r="302" spans="3:7" x14ac:dyDescent="0.25">
      <c r="C302" s="22"/>
      <c r="D302" s="152"/>
      <c r="E302" s="152"/>
      <c r="F302" s="11"/>
      <c r="G302" s="15"/>
    </row>
    <row r="303" spans="3:7" x14ac:dyDescent="0.25">
      <c r="C303" s="22"/>
      <c r="D303" s="152"/>
      <c r="E303" s="152"/>
      <c r="F303" s="11"/>
      <c r="G303" s="15"/>
    </row>
    <row r="304" spans="3:7" x14ac:dyDescent="0.25">
      <c r="C304" s="22"/>
      <c r="D304" s="152"/>
      <c r="E304" s="152"/>
      <c r="F304" s="11"/>
      <c r="G304" s="15"/>
    </row>
    <row r="305" spans="3:7" x14ac:dyDescent="0.25">
      <c r="C305" s="22"/>
      <c r="D305" s="152"/>
      <c r="E305" s="152"/>
      <c r="F305" s="11"/>
      <c r="G305" s="15"/>
    </row>
    <row r="306" spans="3:7" x14ac:dyDescent="0.25">
      <c r="F306"/>
    </row>
    <row r="307" spans="3:7" x14ac:dyDescent="0.25">
      <c r="F307"/>
    </row>
    <row r="308" spans="3:7" x14ac:dyDescent="0.25">
      <c r="F308"/>
    </row>
    <row r="309" spans="3:7" x14ac:dyDescent="0.25">
      <c r="F309"/>
    </row>
    <row r="310" spans="3:7" x14ac:dyDescent="0.25">
      <c r="F310"/>
    </row>
    <row r="311" spans="3:7" x14ac:dyDescent="0.25">
      <c r="F311"/>
    </row>
    <row r="312" spans="3:7" x14ac:dyDescent="0.25">
      <c r="F312"/>
    </row>
    <row r="313" spans="3:7" x14ac:dyDescent="0.25">
      <c r="F313"/>
    </row>
    <row r="314" spans="3:7" x14ac:dyDescent="0.25">
      <c r="F314"/>
    </row>
    <row r="315" spans="3:7" x14ac:dyDescent="0.25">
      <c r="F315"/>
    </row>
    <row r="316" spans="3:7" x14ac:dyDescent="0.25">
      <c r="F316"/>
    </row>
    <row r="317" spans="3:7" x14ac:dyDescent="0.25">
      <c r="F317"/>
    </row>
    <row r="318" spans="3:7" x14ac:dyDescent="0.25">
      <c r="F318"/>
    </row>
    <row r="319" spans="3:7" x14ac:dyDescent="0.25">
      <c r="F319"/>
    </row>
    <row r="320" spans="3:7" x14ac:dyDescent="0.25">
      <c r="F320"/>
    </row>
    <row r="321" spans="6:6" x14ac:dyDescent="0.25">
      <c r="F321"/>
    </row>
    <row r="322" spans="6:6" x14ac:dyDescent="0.25">
      <c r="F322"/>
    </row>
  </sheetData>
  <sheetProtection sheet="1" selectLockedCells="1"/>
  <mergeCells count="87"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L34:M34"/>
    <mergeCell ref="L35:M35"/>
    <mergeCell ref="L36:M36"/>
    <mergeCell ref="L37:M37"/>
    <mergeCell ref="L38:M38"/>
    <mergeCell ref="L29:M29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L9:M9"/>
    <mergeCell ref="L10:M10"/>
    <mergeCell ref="L11:M11"/>
    <mergeCell ref="L12:M12"/>
    <mergeCell ref="L13:M13"/>
    <mergeCell ref="B1:D5"/>
    <mergeCell ref="E1:I5"/>
    <mergeCell ref="J1:L1"/>
    <mergeCell ref="J2:J3"/>
    <mergeCell ref="K2:L3"/>
    <mergeCell ref="J4:J5"/>
    <mergeCell ref="K4:L5"/>
    <mergeCell ref="B6:D6"/>
    <mergeCell ref="E6:G6"/>
    <mergeCell ref="H6:J6"/>
    <mergeCell ref="K6:L6"/>
    <mergeCell ref="M6:N6"/>
    <mergeCell ref="B7:D7"/>
    <mergeCell ref="E7:G7"/>
    <mergeCell ref="H7:J7"/>
    <mergeCell ref="K7:L7"/>
    <mergeCell ref="M7:N7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D145:I145"/>
    <mergeCell ref="B43:H43"/>
    <mergeCell ref="I43:L43"/>
    <mergeCell ref="M43:N43"/>
    <mergeCell ref="B44:H45"/>
    <mergeCell ref="I44:L45"/>
    <mergeCell ref="B46:N46"/>
    <mergeCell ref="B50:C50"/>
    <mergeCell ref="L39:M39"/>
  </mergeCells>
  <phoneticPr fontId="16" type="noConversion"/>
  <dataValidations count="3">
    <dataValidation type="list" allowBlank="1" showInputMessage="1" showErrorMessage="1" sqref="E48" xr:uid="{00000000-0002-0000-0300-000000000000}">
      <formula1>#REF!</formula1>
    </dataValidation>
    <dataValidation type="list" allowBlank="1" showInputMessage="1" showErrorMessage="1" sqref="G48:J48" xr:uid="{00000000-0002-0000-0300-000001000000}">
      <formula1>$F$51:$F$53</formula1>
    </dataValidation>
    <dataValidation type="list" allowBlank="1" showInputMessage="1" showErrorMessage="1" sqref="F48" xr:uid="{00000000-0002-0000-0300-000002000000}">
      <formula1>$D$51:$D$55</formula1>
    </dataValidation>
  </dataValidations>
  <pageMargins left="0.35" right="0.35" top="0.24" bottom="0.24" header="0.5" footer="0.5"/>
  <pageSetup scale="72" orientation="portrait" horizontalDpi="4294967292" vertic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4000000}">
          <x14:formula1>
            <xm:f>BDD!$AF$3:$AF$4</xm:f>
          </x14:formula1>
          <xm:sqref>H10:H39</xm:sqref>
        </x14:dataValidation>
        <x14:dataValidation type="list" allowBlank="1" showInputMessage="1" showErrorMessage="1" xr:uid="{444675FA-C2E7-4B40-B2CB-4F8DBAA3B974}">
          <x14:formula1>
            <xm:f>BDD!$Y$3:$Y$115</xm:f>
          </x14:formula1>
          <xm:sqref>B10:B39 C11:F39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00B050"/>
    <pageSetUpPr fitToPage="1"/>
  </sheetPr>
  <dimension ref="A1:AL95"/>
  <sheetViews>
    <sheetView topLeftCell="I1" zoomScale="55" zoomScaleNormal="55" workbookViewId="0">
      <selection activeCell="AL34" sqref="AL34"/>
    </sheetView>
  </sheetViews>
  <sheetFormatPr defaultColWidth="22.28515625" defaultRowHeight="15" x14ac:dyDescent="0.25"/>
  <cols>
    <col min="1" max="1" width="6.28515625" style="1" customWidth="1"/>
    <col min="2" max="2" width="7.85546875" style="1" customWidth="1"/>
    <col min="3" max="3" width="8.42578125" style="1" customWidth="1"/>
    <col min="4" max="4" width="42" style="1" customWidth="1"/>
    <col min="5" max="5" width="9.140625" style="9" customWidth="1"/>
    <col min="6" max="6" width="32.42578125" style="1" customWidth="1"/>
    <col min="7" max="7" width="41.7109375" style="1" customWidth="1"/>
    <col min="8" max="8" width="20.85546875" style="1" customWidth="1"/>
    <col min="9" max="9" width="19.28515625" style="1" customWidth="1"/>
    <col min="10" max="10" width="10" style="1" customWidth="1"/>
    <col min="11" max="11" width="7.140625" style="1" customWidth="1"/>
    <col min="12" max="12" width="1" style="1" customWidth="1"/>
    <col min="13" max="13" width="5.42578125" style="1" bestFit="1" customWidth="1"/>
    <col min="14" max="14" width="5.42578125" style="1" customWidth="1"/>
    <col min="15" max="16" width="15.42578125" style="1" bestFit="1" customWidth="1"/>
    <col min="17" max="17" width="29.140625" style="1" customWidth="1"/>
    <col min="18" max="18" width="28.7109375" style="1" bestFit="1" customWidth="1"/>
    <col min="19" max="19" width="19.42578125" style="1" bestFit="1" customWidth="1"/>
    <col min="20" max="20" width="18.28515625" style="1" bestFit="1" customWidth="1"/>
    <col min="21" max="21" width="19.42578125" style="1" bestFit="1" customWidth="1"/>
    <col min="22" max="23" width="18.28515625" style="1" bestFit="1" customWidth="1"/>
    <col min="24" max="24" width="1.140625" style="1" customWidth="1"/>
    <col min="25" max="25" width="7.140625" style="1" bestFit="1" customWidth="1"/>
    <col min="26" max="26" width="7.42578125" style="1" bestFit="1" customWidth="1"/>
    <col min="27" max="28" width="14.7109375" style="1" customWidth="1"/>
    <col min="29" max="29" width="34.85546875" style="1" customWidth="1"/>
    <col min="30" max="30" width="30.42578125" style="1" customWidth="1"/>
    <col min="31" max="31" width="25" style="1" customWidth="1"/>
    <col min="32" max="32" width="8.42578125" style="1" bestFit="1" customWidth="1"/>
    <col min="33" max="33" width="25.42578125" style="1" customWidth="1"/>
    <col min="34" max="34" width="8.42578125" style="1" bestFit="1" customWidth="1"/>
    <col min="35" max="35" width="26.85546875" style="1" customWidth="1"/>
    <col min="36" max="36" width="26.140625" style="1" customWidth="1"/>
    <col min="37" max="37" width="8.42578125" style="1" bestFit="1" customWidth="1"/>
    <col min="38" max="38" width="13.7109375" style="1" customWidth="1"/>
    <col min="39" max="39" width="22.7109375" style="1" customWidth="1"/>
    <col min="40" max="40" width="24.85546875" style="1" customWidth="1"/>
    <col min="41" max="41" width="15.42578125" style="1" customWidth="1"/>
    <col min="42" max="42" width="17.7109375" style="1" customWidth="1"/>
    <col min="43" max="43" width="20.28515625" style="1" customWidth="1"/>
    <col min="44" max="44" width="22.42578125" style="1" customWidth="1"/>
    <col min="45" max="45" width="21.85546875" style="1" customWidth="1"/>
    <col min="46" max="46" width="24" style="1" customWidth="1"/>
    <col min="47" max="47" width="20.140625" style="1" customWidth="1"/>
    <col min="48" max="48" width="22.28515625" style="1" customWidth="1"/>
    <col min="49" max="49" width="24" style="1" bestFit="1" customWidth="1"/>
    <col min="50" max="50" width="26.140625" style="1" bestFit="1" customWidth="1"/>
    <col min="51" max="51" width="19.28515625" style="1" customWidth="1"/>
    <col min="52" max="52" width="21.42578125" style="1" customWidth="1"/>
    <col min="53" max="53" width="23.28515625" style="1" bestFit="1" customWidth="1"/>
    <col min="54" max="54" width="25.42578125" style="1" customWidth="1"/>
    <col min="55" max="55" width="21.42578125" style="1" customWidth="1"/>
    <col min="56" max="56" width="23.7109375" style="1" bestFit="1" customWidth="1"/>
    <col min="57" max="57" width="20.85546875" style="1" customWidth="1"/>
    <col min="58" max="58" width="23" style="1" customWidth="1"/>
    <col min="59" max="59" width="21.85546875" style="1" customWidth="1"/>
    <col min="60" max="60" width="24" style="1" customWidth="1"/>
    <col min="61" max="61" width="21.7109375" style="1" customWidth="1"/>
    <col min="62" max="62" width="23.85546875" style="1" customWidth="1"/>
    <col min="63" max="63" width="23.140625" style="1" customWidth="1"/>
    <col min="64" max="64" width="25.28515625" style="1" bestFit="1" customWidth="1"/>
    <col min="65" max="65" width="20" style="1" customWidth="1"/>
    <col min="66" max="66" width="22.140625" style="1" customWidth="1"/>
    <col min="67" max="67" width="23.28515625" style="1" customWidth="1"/>
    <col min="68" max="68" width="25.42578125" style="1" customWidth="1"/>
    <col min="69" max="69" width="21.42578125" style="1" customWidth="1"/>
    <col min="70" max="70" width="23.7109375" style="1" customWidth="1"/>
    <col min="71" max="71" width="20.85546875" style="1" customWidth="1"/>
    <col min="72" max="72" width="23" style="1" customWidth="1"/>
    <col min="73" max="73" width="23.28515625" style="1" customWidth="1"/>
    <col min="74" max="74" width="25.28515625" style="1" customWidth="1"/>
    <col min="75" max="75" width="23.28515625" style="1" customWidth="1"/>
    <col min="76" max="76" width="25.28515625" style="1" bestFit="1" customWidth="1"/>
    <col min="77" max="77" width="21.42578125" style="1" customWidth="1"/>
    <col min="78" max="78" width="23.7109375" style="1" customWidth="1"/>
    <col min="79" max="79" width="20.7109375" style="1" customWidth="1"/>
    <col min="80" max="80" width="22.85546875" style="1" customWidth="1"/>
    <col min="81" max="81" width="22.7109375" style="1" customWidth="1"/>
    <col min="82" max="82" width="24.85546875" style="1" customWidth="1"/>
    <col min="83" max="83" width="22.7109375" style="1" customWidth="1"/>
    <col min="84" max="84" width="24.85546875" style="1" customWidth="1"/>
    <col min="85" max="85" width="22.28515625" style="1" customWidth="1"/>
    <col min="86" max="86" width="24.28515625" style="1" customWidth="1"/>
    <col min="87" max="87" width="11.28515625" style="1" customWidth="1"/>
    <col min="88" max="88" width="23.7109375" style="1" customWidth="1"/>
    <col min="89" max="89" width="25.85546875" style="1" customWidth="1"/>
    <col min="90" max="90" width="19" style="1" customWidth="1"/>
    <col min="91" max="91" width="21.140625" style="1" customWidth="1"/>
    <col min="92" max="92" width="20.28515625" style="1" customWidth="1"/>
    <col min="93" max="93" width="22.42578125" style="1" customWidth="1"/>
    <col min="94" max="94" width="19.28515625" style="1" customWidth="1"/>
    <col min="95" max="95" width="21.42578125" style="1" customWidth="1"/>
    <col min="96" max="96" width="20.28515625" style="1" customWidth="1"/>
    <col min="97" max="97" width="22.42578125" style="1" customWidth="1"/>
    <col min="98" max="98" width="17.85546875" style="1" customWidth="1"/>
    <col min="99" max="99" width="20" style="1" customWidth="1"/>
    <col min="100" max="100" width="18.85546875" style="1" customWidth="1"/>
    <col min="101" max="101" width="21" style="1" customWidth="1"/>
    <col min="102" max="102" width="20.42578125" style="1" customWidth="1"/>
    <col min="103" max="103" width="22.7109375" style="1" customWidth="1"/>
    <col min="104" max="104" width="22.28515625" style="1" customWidth="1"/>
    <col min="105" max="105" width="24.42578125" style="1" customWidth="1"/>
    <col min="106" max="106" width="22.7109375" style="1" customWidth="1"/>
    <col min="107" max="107" width="24.85546875" style="1" customWidth="1"/>
    <col min="108" max="108" width="20.7109375" style="1" customWidth="1"/>
    <col min="109" max="109" width="22.85546875" style="1" customWidth="1"/>
    <col min="110" max="110" width="27" style="1" customWidth="1"/>
    <col min="111" max="111" width="29.140625" style="1" customWidth="1"/>
    <col min="112" max="112" width="22.28515625" style="1" bestFit="1" customWidth="1"/>
    <col min="113" max="113" width="24.42578125" style="1" customWidth="1"/>
    <col min="114" max="114" width="21.42578125" style="1" customWidth="1"/>
    <col min="115" max="115" width="23.7109375" style="1" bestFit="1" customWidth="1"/>
    <col min="116" max="116" width="21.42578125" style="1" customWidth="1"/>
    <col min="117" max="117" width="23.7109375" style="1" customWidth="1"/>
    <col min="118" max="118" width="17.28515625" style="1" customWidth="1"/>
    <col min="119" max="119" width="19.42578125" style="1" customWidth="1"/>
    <col min="120" max="120" width="17.28515625" style="1" customWidth="1"/>
    <col min="121" max="121" width="19.42578125" style="1" customWidth="1"/>
    <col min="122" max="122" width="22.140625" style="1" customWidth="1"/>
    <col min="123" max="123" width="24.28515625" style="1" customWidth="1"/>
    <col min="124" max="124" width="19.28515625" style="1" customWidth="1"/>
    <col min="125" max="125" width="21.42578125" style="1" customWidth="1"/>
    <col min="126" max="126" width="15.42578125" style="1" customWidth="1"/>
    <col min="127" max="127" width="17.7109375" style="1" customWidth="1"/>
    <col min="128" max="128" width="20.140625" style="1" customWidth="1"/>
    <col min="129" max="129" width="22.28515625" style="1" bestFit="1" customWidth="1"/>
    <col min="130" max="130" width="20.42578125" style="1" customWidth="1"/>
    <col min="131" max="131" width="22.7109375" style="1" bestFit="1" customWidth="1"/>
    <col min="132" max="132" width="20.42578125" style="1" customWidth="1"/>
    <col min="133" max="133" width="22.7109375" style="1" customWidth="1"/>
    <col min="134" max="134" width="18.85546875" style="1" customWidth="1"/>
    <col min="135" max="135" width="21" style="1" customWidth="1"/>
    <col min="136" max="136" width="17" style="1" customWidth="1"/>
    <col min="137" max="137" width="19.140625" style="1" customWidth="1"/>
    <col min="138" max="138" width="16.28515625" style="1" customWidth="1"/>
    <col min="139" max="139" width="18.42578125" style="1" customWidth="1"/>
    <col min="140" max="140" width="16.28515625" style="1" customWidth="1"/>
    <col min="141" max="141" width="18.42578125" style="1" customWidth="1"/>
    <col min="142" max="142" width="30.140625" style="1" bestFit="1" customWidth="1"/>
    <col min="143" max="143" width="32.28515625" style="1" customWidth="1"/>
    <col min="144" max="144" width="19.140625" style="1" customWidth="1"/>
    <col min="145" max="145" width="21.28515625" style="1" bestFit="1" customWidth="1"/>
    <col min="146" max="146" width="22.7109375" style="1" bestFit="1" customWidth="1"/>
    <col min="147" max="147" width="24.85546875" style="1" customWidth="1"/>
    <col min="148" max="148" width="15.42578125" style="1" customWidth="1"/>
    <col min="149" max="149" width="17.7109375" style="1" customWidth="1"/>
    <col min="150" max="150" width="20.28515625" style="1" customWidth="1"/>
    <col min="151" max="151" width="22.42578125" style="1" customWidth="1"/>
    <col min="152" max="152" width="21.85546875" style="1" customWidth="1"/>
    <col min="153" max="153" width="24" style="1" bestFit="1" customWidth="1"/>
    <col min="154" max="154" width="20.140625" style="1" customWidth="1"/>
    <col min="155" max="155" width="22.28515625" style="1" bestFit="1" customWidth="1"/>
    <col min="156" max="156" width="24" style="1" bestFit="1" customWidth="1"/>
    <col min="157" max="157" width="26.140625" style="1" customWidth="1"/>
    <col min="158" max="158" width="19.28515625" style="1" customWidth="1"/>
    <col min="159" max="159" width="21.42578125" style="1" customWidth="1"/>
    <col min="160" max="160" width="23.28515625" style="1" customWidth="1"/>
    <col min="161" max="161" width="25.42578125" style="1" bestFit="1" customWidth="1"/>
    <col min="162" max="162" width="21.42578125" style="1" customWidth="1"/>
    <col min="163" max="163" width="23.7109375" style="1" customWidth="1"/>
    <col min="164" max="164" width="20.85546875" style="1" customWidth="1"/>
    <col min="165" max="165" width="23" style="1" customWidth="1"/>
    <col min="166" max="166" width="21.85546875" style="1" bestFit="1" customWidth="1"/>
    <col min="167" max="167" width="24" style="1" customWidth="1"/>
    <col min="168" max="168" width="21.7109375" style="1" bestFit="1" customWidth="1"/>
    <col min="169" max="169" width="23.85546875" style="1" customWidth="1"/>
    <col min="170" max="170" width="23.140625" style="1" bestFit="1" customWidth="1"/>
    <col min="171" max="171" width="25.28515625" style="1" customWidth="1"/>
    <col min="172" max="172" width="20" style="1" customWidth="1"/>
    <col min="173" max="173" width="22.140625" style="1" customWidth="1"/>
    <col min="174" max="174" width="23.28515625" style="1" customWidth="1"/>
    <col min="175" max="175" width="25.42578125" style="1" bestFit="1" customWidth="1"/>
    <col min="176" max="176" width="21.42578125" style="1" customWidth="1"/>
    <col min="177" max="177" width="23.7109375" style="1" customWidth="1"/>
    <col min="178" max="178" width="20.85546875" style="1" bestFit="1" customWidth="1"/>
    <col min="179" max="179" width="23" style="1" bestFit="1" customWidth="1"/>
    <col min="180" max="180" width="23.28515625" style="1" bestFit="1" customWidth="1"/>
    <col min="181" max="181" width="25.28515625" style="1" bestFit="1" customWidth="1"/>
    <col min="182" max="182" width="23.28515625" style="1" customWidth="1"/>
    <col min="183" max="183" width="25.28515625" style="1" bestFit="1" customWidth="1"/>
    <col min="184" max="184" width="21.42578125" style="1" customWidth="1"/>
    <col min="185" max="185" width="23.7109375" style="1" bestFit="1" customWidth="1"/>
    <col min="186" max="186" width="20.7109375" style="1" customWidth="1"/>
    <col min="187" max="187" width="22.85546875" style="1" customWidth="1"/>
    <col min="188" max="188" width="22.7109375" style="1" customWidth="1"/>
    <col min="189" max="189" width="24.85546875" style="1" bestFit="1" customWidth="1"/>
    <col min="190" max="190" width="22.7109375" style="1" customWidth="1"/>
    <col min="191" max="191" width="24.85546875" style="1" bestFit="1" customWidth="1"/>
    <col min="192" max="192" width="22.28515625" style="1" bestFit="1" customWidth="1"/>
    <col min="193" max="193" width="24.28515625" style="1" bestFit="1" customWidth="1"/>
    <col min="194" max="194" width="7.28515625" style="1" customWidth="1"/>
    <col min="195" max="195" width="23.7109375" style="1" bestFit="1" customWidth="1"/>
    <col min="196" max="196" width="25.85546875" style="1" bestFit="1" customWidth="1"/>
    <col min="197" max="197" width="19" style="1" bestFit="1" customWidth="1"/>
    <col min="198" max="198" width="21.140625" style="1" bestFit="1" customWidth="1"/>
    <col min="199" max="199" width="20.28515625" style="1" customWidth="1"/>
    <col min="200" max="200" width="22.42578125" style="1" customWidth="1"/>
    <col min="201" max="201" width="19.28515625" style="1" customWidth="1"/>
    <col min="202" max="202" width="21.42578125" style="1" customWidth="1"/>
    <col min="203" max="203" width="20.28515625" style="1" bestFit="1" customWidth="1"/>
    <col min="204" max="204" width="22.42578125" style="1" bestFit="1" customWidth="1"/>
    <col min="205" max="205" width="17.85546875" style="1" customWidth="1"/>
    <col min="206" max="206" width="20" style="1" customWidth="1"/>
    <col min="207" max="207" width="18.85546875" style="1" customWidth="1"/>
    <col min="208" max="208" width="21" style="1" bestFit="1" customWidth="1"/>
    <col min="209" max="209" width="20.42578125" style="1" customWidth="1"/>
    <col min="210" max="210" width="22.7109375" style="1" customWidth="1"/>
    <col min="211" max="211" width="22.28515625" style="1" customWidth="1"/>
    <col min="212" max="212" width="24.42578125" style="1" customWidth="1"/>
    <col min="213" max="213" width="22.7109375" style="1" bestFit="1" customWidth="1"/>
    <col min="214" max="214" width="24.85546875" style="1" bestFit="1" customWidth="1"/>
    <col min="215" max="215" width="20.7109375" style="1" bestFit="1" customWidth="1"/>
    <col min="216" max="216" width="22.85546875" style="1" bestFit="1" customWidth="1"/>
    <col min="217" max="217" width="27" style="1" customWidth="1"/>
    <col min="218" max="218" width="29.140625" style="1" bestFit="1" customWidth="1"/>
    <col min="219" max="219" width="22.28515625" style="1" customWidth="1"/>
    <col min="220" max="220" width="24.42578125" style="1" customWidth="1"/>
    <col min="221" max="221" width="21.42578125" style="1" bestFit="1" customWidth="1"/>
    <col min="222" max="222" width="23.7109375" style="1" bestFit="1" customWidth="1"/>
    <col min="223" max="223" width="21.42578125" style="1" bestFit="1" customWidth="1"/>
    <col min="224" max="224" width="23.7109375" style="1" bestFit="1" customWidth="1"/>
    <col min="225" max="225" width="17.28515625" style="1" customWidth="1"/>
    <col min="226" max="226" width="19.42578125" style="1" customWidth="1"/>
    <col min="227" max="227" width="17.28515625" style="1" customWidth="1"/>
    <col min="228" max="228" width="19.42578125" style="1" customWidth="1"/>
    <col min="229" max="229" width="22.140625" style="1" customWidth="1"/>
    <col min="230" max="230" width="24.28515625" style="1" bestFit="1" customWidth="1"/>
    <col min="231" max="231" width="19.28515625" style="1" customWidth="1"/>
    <col min="232" max="232" width="21.42578125" style="1" customWidth="1"/>
    <col min="233" max="233" width="15.42578125" style="1" customWidth="1"/>
    <col min="234" max="234" width="17.7109375" style="1" customWidth="1"/>
    <col min="235" max="235" width="20.140625" style="1" customWidth="1"/>
    <col min="236" max="236" width="22.28515625" style="1" customWidth="1"/>
    <col min="237" max="237" width="20.42578125" style="1" customWidth="1"/>
    <col min="238" max="238" width="22.7109375" style="1" customWidth="1"/>
    <col min="239" max="239" width="20.42578125" style="1" customWidth="1"/>
    <col min="240" max="240" width="22.7109375" style="1" customWidth="1"/>
    <col min="241" max="241" width="18.85546875" style="1" customWidth="1"/>
    <col min="242" max="242" width="21" style="1" customWidth="1"/>
    <col min="243" max="243" width="17" style="1" customWidth="1"/>
    <col min="244" max="244" width="19.140625" style="1" customWidth="1"/>
    <col min="245" max="245" width="16.28515625" style="1" customWidth="1"/>
    <col min="246" max="246" width="18.42578125" style="1" customWidth="1"/>
    <col min="247" max="247" width="16.28515625" style="1" customWidth="1"/>
    <col min="248" max="248" width="18.42578125" style="1" customWidth="1"/>
    <col min="249" max="249" width="30.140625" style="1" bestFit="1" customWidth="1"/>
    <col min="250" max="250" width="32.28515625" style="1" bestFit="1" customWidth="1"/>
    <col min="251" max="251" width="19.140625" style="1" customWidth="1"/>
    <col min="252" max="252" width="21.28515625" style="1" customWidth="1"/>
    <col min="253" max="253" width="22.7109375" style="1" bestFit="1" customWidth="1"/>
    <col min="254" max="254" width="24.85546875" style="1" bestFit="1" customWidth="1"/>
    <col min="255" max="255" width="15.42578125" style="1" customWidth="1"/>
    <col min="256" max="256" width="17.7109375" style="1" customWidth="1"/>
    <col min="257" max="257" width="20.28515625" style="1" customWidth="1"/>
    <col min="258" max="258" width="22.42578125" style="1" customWidth="1"/>
    <col min="259" max="259" width="21.85546875" style="1" customWidth="1"/>
    <col min="260" max="260" width="24" style="1" bestFit="1" customWidth="1"/>
    <col min="261" max="261" width="20.140625" style="1" customWidth="1"/>
    <col min="262" max="16384" width="22.28515625" style="1"/>
  </cols>
  <sheetData>
    <row r="1" spans="1:38" ht="11.1" customHeight="1" x14ac:dyDescent="0.25">
      <c r="A1" s="65"/>
      <c r="B1" s="66"/>
      <c r="C1" s="66"/>
      <c r="D1" s="83"/>
      <c r="E1" s="820" t="s">
        <v>115</v>
      </c>
      <c r="F1" s="820"/>
      <c r="G1" s="820"/>
      <c r="H1" s="821"/>
      <c r="I1" s="813" t="s">
        <v>116</v>
      </c>
      <c r="J1" s="828"/>
      <c r="K1" s="829"/>
      <c r="L1" s="358"/>
      <c r="M1" s="813"/>
      <c r="N1" s="814"/>
      <c r="O1" s="814"/>
      <c r="P1" s="814"/>
      <c r="Q1" s="815"/>
      <c r="R1" s="819" t="s">
        <v>117</v>
      </c>
      <c r="S1" s="820"/>
      <c r="T1" s="820"/>
      <c r="U1" s="821"/>
      <c r="V1" s="813" t="s">
        <v>116</v>
      </c>
      <c r="W1" s="829"/>
      <c r="X1" s="358"/>
      <c r="Y1" s="813"/>
      <c r="Z1" s="814"/>
      <c r="AA1" s="814"/>
      <c r="AB1" s="814"/>
      <c r="AC1" s="815"/>
      <c r="AD1" s="819" t="s">
        <v>812</v>
      </c>
      <c r="AE1" s="820"/>
      <c r="AF1" s="820"/>
      <c r="AG1" s="820"/>
      <c r="AH1" s="820"/>
      <c r="AI1" s="821"/>
      <c r="AJ1" s="813" t="s">
        <v>116</v>
      </c>
      <c r="AK1" s="828"/>
      <c r="AL1" s="829"/>
    </row>
    <row r="2" spans="1:38" ht="11.1" customHeight="1" x14ac:dyDescent="0.25">
      <c r="A2" s="67"/>
      <c r="B2" s="68"/>
      <c r="C2" s="68"/>
      <c r="D2" s="84"/>
      <c r="E2" s="823"/>
      <c r="F2" s="823"/>
      <c r="G2" s="823"/>
      <c r="H2" s="824"/>
      <c r="I2" s="830" t="str">
        <f>'Cava Doors order'!K2</f>
        <v/>
      </c>
      <c r="J2" s="831"/>
      <c r="K2" s="832"/>
      <c r="L2" s="359"/>
      <c r="M2" s="788"/>
      <c r="N2" s="789"/>
      <c r="O2" s="789"/>
      <c r="P2" s="789"/>
      <c r="Q2" s="790"/>
      <c r="R2" s="822"/>
      <c r="S2" s="823"/>
      <c r="T2" s="823"/>
      <c r="U2" s="824"/>
      <c r="V2" s="830" t="str">
        <f>I2</f>
        <v/>
      </c>
      <c r="W2" s="832"/>
      <c r="X2" s="359"/>
      <c r="Y2" s="788"/>
      <c r="Z2" s="789"/>
      <c r="AA2" s="789"/>
      <c r="AB2" s="789"/>
      <c r="AC2" s="790"/>
      <c r="AD2" s="822"/>
      <c r="AE2" s="823"/>
      <c r="AF2" s="823"/>
      <c r="AG2" s="823"/>
      <c r="AH2" s="823"/>
      <c r="AI2" s="824"/>
      <c r="AJ2" s="830" t="str">
        <f>V2</f>
        <v/>
      </c>
      <c r="AK2" s="831"/>
      <c r="AL2" s="832"/>
    </row>
    <row r="3" spans="1:38" ht="11.1" customHeight="1" x14ac:dyDescent="0.25">
      <c r="A3" s="67"/>
      <c r="B3" s="68"/>
      <c r="C3" s="68"/>
      <c r="D3" s="84"/>
      <c r="E3" s="823"/>
      <c r="F3" s="823"/>
      <c r="G3" s="823"/>
      <c r="H3" s="824"/>
      <c r="I3" s="830"/>
      <c r="J3" s="831"/>
      <c r="K3" s="832"/>
      <c r="L3" s="359"/>
      <c r="M3" s="788"/>
      <c r="N3" s="789"/>
      <c r="O3" s="789"/>
      <c r="P3" s="789"/>
      <c r="Q3" s="790"/>
      <c r="R3" s="822"/>
      <c r="S3" s="823"/>
      <c r="T3" s="823"/>
      <c r="U3" s="824"/>
      <c r="V3" s="830"/>
      <c r="W3" s="832"/>
      <c r="X3" s="359"/>
      <c r="Y3" s="788"/>
      <c r="Z3" s="789"/>
      <c r="AA3" s="789"/>
      <c r="AB3" s="789"/>
      <c r="AC3" s="790"/>
      <c r="AD3" s="822"/>
      <c r="AE3" s="823"/>
      <c r="AF3" s="823"/>
      <c r="AG3" s="823"/>
      <c r="AH3" s="823"/>
      <c r="AI3" s="824"/>
      <c r="AJ3" s="830"/>
      <c r="AK3" s="831"/>
      <c r="AL3" s="832"/>
    </row>
    <row r="4" spans="1:38" ht="11.1" customHeight="1" x14ac:dyDescent="0.25">
      <c r="A4" s="67"/>
      <c r="B4" s="68"/>
      <c r="C4" s="68"/>
      <c r="D4" s="84"/>
      <c r="E4" s="823"/>
      <c r="F4" s="823"/>
      <c r="G4" s="823"/>
      <c r="H4" s="824"/>
      <c r="I4" s="830"/>
      <c r="J4" s="831"/>
      <c r="K4" s="832"/>
      <c r="L4" s="359"/>
      <c r="M4" s="788"/>
      <c r="N4" s="789"/>
      <c r="O4" s="789"/>
      <c r="P4" s="789"/>
      <c r="Q4" s="790"/>
      <c r="R4" s="822"/>
      <c r="S4" s="823"/>
      <c r="T4" s="823"/>
      <c r="U4" s="824"/>
      <c r="V4" s="830"/>
      <c r="W4" s="832"/>
      <c r="X4" s="359"/>
      <c r="Y4" s="788"/>
      <c r="Z4" s="789"/>
      <c r="AA4" s="789"/>
      <c r="AB4" s="789"/>
      <c r="AC4" s="790"/>
      <c r="AD4" s="822"/>
      <c r="AE4" s="823"/>
      <c r="AF4" s="823"/>
      <c r="AG4" s="823"/>
      <c r="AH4" s="823"/>
      <c r="AI4" s="824"/>
      <c r="AJ4" s="830"/>
      <c r="AK4" s="831"/>
      <c r="AL4" s="832"/>
    </row>
    <row r="5" spans="1:38" ht="11.1" customHeight="1" x14ac:dyDescent="0.25">
      <c r="A5" s="85"/>
      <c r="B5" s="86"/>
      <c r="C5" s="86"/>
      <c r="D5" s="87"/>
      <c r="E5" s="826"/>
      <c r="F5" s="826"/>
      <c r="G5" s="826"/>
      <c r="H5" s="827"/>
      <c r="I5" s="859"/>
      <c r="J5" s="860"/>
      <c r="K5" s="861"/>
      <c r="L5" s="360"/>
      <c r="M5" s="816"/>
      <c r="N5" s="817"/>
      <c r="O5" s="817"/>
      <c r="P5" s="817"/>
      <c r="Q5" s="818"/>
      <c r="R5" s="825"/>
      <c r="S5" s="826"/>
      <c r="T5" s="826"/>
      <c r="U5" s="827"/>
      <c r="V5" s="830"/>
      <c r="W5" s="832"/>
      <c r="X5" s="359"/>
      <c r="Y5" s="816"/>
      <c r="Z5" s="817"/>
      <c r="AA5" s="817"/>
      <c r="AB5" s="817"/>
      <c r="AC5" s="818"/>
      <c r="AD5" s="825"/>
      <c r="AE5" s="826"/>
      <c r="AF5" s="826"/>
      <c r="AG5" s="826"/>
      <c r="AH5" s="826"/>
      <c r="AI5" s="827"/>
      <c r="AJ5" s="830"/>
      <c r="AK5" s="831"/>
      <c r="AL5" s="832"/>
    </row>
    <row r="6" spans="1:38" ht="15" customHeight="1" x14ac:dyDescent="0.25">
      <c r="A6" s="855" t="s">
        <v>0</v>
      </c>
      <c r="B6" s="856"/>
      <c r="C6" s="857"/>
      <c r="D6" s="855" t="s">
        <v>1</v>
      </c>
      <c r="E6" s="835"/>
      <c r="F6" s="69" t="s">
        <v>2</v>
      </c>
      <c r="G6" s="70"/>
      <c r="H6" s="56" t="s">
        <v>208</v>
      </c>
      <c r="I6" s="71" t="s">
        <v>118</v>
      </c>
      <c r="J6" s="69" t="s">
        <v>119</v>
      </c>
      <c r="K6" s="71"/>
      <c r="L6" s="361"/>
      <c r="M6" s="833" t="s">
        <v>0</v>
      </c>
      <c r="N6" s="834"/>
      <c r="O6" s="834"/>
      <c r="P6" s="835"/>
      <c r="Q6" s="833" t="s">
        <v>1</v>
      </c>
      <c r="R6" s="835"/>
      <c r="S6" s="69" t="s">
        <v>2</v>
      </c>
      <c r="T6" s="70"/>
      <c r="U6" s="56" t="s">
        <v>209</v>
      </c>
      <c r="V6" s="71" t="s">
        <v>118</v>
      </c>
      <c r="W6" s="56" t="s">
        <v>119</v>
      </c>
      <c r="X6" s="437"/>
      <c r="Y6" s="833" t="s">
        <v>0</v>
      </c>
      <c r="Z6" s="834"/>
      <c r="AA6" s="834"/>
      <c r="AB6" s="835"/>
      <c r="AC6" s="833" t="s">
        <v>1</v>
      </c>
      <c r="AD6" s="835"/>
      <c r="AE6" s="69" t="s">
        <v>2</v>
      </c>
      <c r="AF6" s="70"/>
      <c r="AG6" s="70"/>
      <c r="AH6" s="70"/>
      <c r="AI6" s="56" t="s">
        <v>209</v>
      </c>
      <c r="AJ6" s="71" t="s">
        <v>118</v>
      </c>
      <c r="AK6" s="71"/>
      <c r="AL6" s="56" t="s">
        <v>119</v>
      </c>
    </row>
    <row r="7" spans="1:38" ht="21" customHeight="1" x14ac:dyDescent="0.25">
      <c r="A7" s="806">
        <f>'Doors order'!A7:D7</f>
        <v>0</v>
      </c>
      <c r="B7" s="807"/>
      <c r="C7" s="858"/>
      <c r="D7" s="804">
        <f>'Doors order'!E7</f>
        <v>0</v>
      </c>
      <c r="E7" s="805"/>
      <c r="F7" s="806" t="str">
        <f>IF('Doors order'!H7="","",'Doors order'!H7)</f>
        <v/>
      </c>
      <c r="G7" s="807"/>
      <c r="H7" s="72">
        <f>IF('Doors order'!K4="","",'Doors order'!K4)</f>
        <v>10</v>
      </c>
      <c r="I7" s="73"/>
      <c r="J7" s="356"/>
      <c r="K7" s="357"/>
      <c r="L7" s="362"/>
      <c r="M7" s="801">
        <f>A7</f>
        <v>0</v>
      </c>
      <c r="N7" s="802"/>
      <c r="O7" s="802"/>
      <c r="P7" s="803"/>
      <c r="Q7" s="804">
        <f>D7</f>
        <v>0</v>
      </c>
      <c r="R7" s="805"/>
      <c r="S7" s="806" t="str">
        <f>F7</f>
        <v/>
      </c>
      <c r="T7" s="807"/>
      <c r="U7" s="72">
        <f>H7</f>
        <v>10</v>
      </c>
      <c r="V7" s="73"/>
      <c r="W7" s="74"/>
      <c r="X7" s="438"/>
      <c r="Y7" s="801">
        <f>M7</f>
        <v>0</v>
      </c>
      <c r="Z7" s="802"/>
      <c r="AA7" s="802"/>
      <c r="AB7" s="803"/>
      <c r="AC7" s="804">
        <f>Q7</f>
        <v>0</v>
      </c>
      <c r="AD7" s="805"/>
      <c r="AE7" s="806" t="str">
        <f>S7</f>
        <v/>
      </c>
      <c r="AF7" s="807"/>
      <c r="AG7" s="807"/>
      <c r="AH7" s="448"/>
      <c r="AI7" s="73">
        <f>IF(U7="","",U7)</f>
        <v>10</v>
      </c>
      <c r="AJ7" s="73" t="str">
        <f>IF(V7="","",V7)</f>
        <v/>
      </c>
      <c r="AK7" s="73"/>
      <c r="AL7" s="73" t="str">
        <f>IF(W7="","",W7)</f>
        <v/>
      </c>
    </row>
    <row r="8" spans="1:38" s="10" customFormat="1" ht="6" customHeight="1" x14ac:dyDescent="0.25">
      <c r="A8" s="28"/>
      <c r="B8" s="28"/>
      <c r="C8" s="28"/>
      <c r="D8" s="27"/>
      <c r="E8" s="27"/>
      <c r="F8" s="28"/>
      <c r="G8" s="28"/>
      <c r="H8" s="28"/>
      <c r="I8" s="28"/>
      <c r="J8" s="25"/>
      <c r="K8" s="25"/>
      <c r="L8" s="363"/>
      <c r="M8" s="25"/>
      <c r="N8" s="28"/>
      <c r="O8" s="28"/>
      <c r="P8" s="28"/>
      <c r="Q8" s="27"/>
      <c r="R8" s="27"/>
      <c r="S8" s="28"/>
      <c r="T8" s="28"/>
      <c r="U8" s="28"/>
      <c r="V8" s="28"/>
      <c r="W8" s="25"/>
      <c r="X8" s="363"/>
      <c r="Y8" s="25"/>
      <c r="Z8" s="28"/>
      <c r="AA8" s="28"/>
      <c r="AB8" s="28"/>
      <c r="AC8" s="27"/>
      <c r="AD8" s="27"/>
      <c r="AE8" s="28"/>
      <c r="AF8" s="28"/>
      <c r="AG8" s="28"/>
      <c r="AH8" s="28"/>
      <c r="AI8" s="28"/>
      <c r="AJ8" s="28"/>
      <c r="AK8" s="28"/>
      <c r="AL8" s="25"/>
    </row>
    <row r="9" spans="1:38" ht="23.1" customHeight="1" x14ac:dyDescent="0.25">
      <c r="A9" s="75" t="s">
        <v>13</v>
      </c>
      <c r="B9" s="862" t="s">
        <v>120</v>
      </c>
      <c r="C9" s="862"/>
      <c r="D9" s="862"/>
      <c r="E9" s="75" t="s">
        <v>329</v>
      </c>
      <c r="F9" s="76" t="s">
        <v>121</v>
      </c>
      <c r="G9" s="862" t="s">
        <v>122</v>
      </c>
      <c r="H9" s="862"/>
      <c r="I9" s="77" t="s">
        <v>123</v>
      </c>
      <c r="J9" s="77" t="s">
        <v>124</v>
      </c>
      <c r="K9" s="78" t="s">
        <v>121</v>
      </c>
      <c r="L9" s="364"/>
      <c r="M9" s="77" t="s">
        <v>213</v>
      </c>
      <c r="N9" s="75" t="s">
        <v>13</v>
      </c>
      <c r="O9" s="75" t="s">
        <v>3</v>
      </c>
      <c r="P9" s="75" t="s">
        <v>4</v>
      </c>
      <c r="Q9" s="79" t="s">
        <v>22</v>
      </c>
      <c r="R9" s="79" t="s">
        <v>5</v>
      </c>
      <c r="S9" s="79" t="s">
        <v>6</v>
      </c>
      <c r="T9" s="79" t="s">
        <v>7</v>
      </c>
      <c r="U9" s="79" t="s">
        <v>8</v>
      </c>
      <c r="V9" s="79" t="s">
        <v>9</v>
      </c>
      <c r="W9" s="78" t="s">
        <v>121</v>
      </c>
      <c r="X9" s="364"/>
      <c r="Y9" s="77" t="s">
        <v>213</v>
      </c>
      <c r="Z9" s="75" t="s">
        <v>13</v>
      </c>
      <c r="AA9" s="75" t="s">
        <v>3</v>
      </c>
      <c r="AB9" s="75" t="s">
        <v>4</v>
      </c>
      <c r="AC9" s="79" t="s">
        <v>22</v>
      </c>
      <c r="AD9" s="79" t="s">
        <v>5</v>
      </c>
      <c r="AE9" s="79" t="s">
        <v>813</v>
      </c>
      <c r="AF9" s="79" t="s">
        <v>817</v>
      </c>
      <c r="AG9" s="79" t="s">
        <v>814</v>
      </c>
      <c r="AH9" s="79" t="s">
        <v>817</v>
      </c>
      <c r="AI9" s="79" t="s">
        <v>815</v>
      </c>
      <c r="AJ9" s="79" t="s">
        <v>816</v>
      </c>
      <c r="AK9" s="79" t="s">
        <v>817</v>
      </c>
      <c r="AL9" s="78" t="s">
        <v>121</v>
      </c>
    </row>
    <row r="10" spans="1:38" ht="21.75" customHeight="1" x14ac:dyDescent="0.25">
      <c r="A10" s="336" t="str">
        <f>IF('Panel order'!A10="","",'Panel order'!A10)</f>
        <v/>
      </c>
      <c r="B10" s="843" t="str">
        <f>IF('Panel order'!B10:G10="","",'Panel order'!B10:G10)</f>
        <v/>
      </c>
      <c r="C10" s="844"/>
      <c r="D10" s="845"/>
      <c r="E10" s="337" t="str">
        <f>IF('Panel order'!H10="","",'Panel order'!H10)</f>
        <v/>
      </c>
      <c r="F10" s="338"/>
      <c r="G10" s="843" t="str">
        <f>IF('Edge order'!B10="","",'Edge order'!B10)</f>
        <v/>
      </c>
      <c r="H10" s="845"/>
      <c r="I10" s="371" t="str">
        <f>IF('Edge order'!H10="","",'Edge order'!H10)</f>
        <v/>
      </c>
      <c r="J10" s="370" t="str">
        <f>IF('Edge order'!I10="","",'Edge order'!I10)</f>
        <v/>
      </c>
      <c r="K10" s="80"/>
      <c r="L10" s="365"/>
      <c r="M10" s="335" t="s">
        <v>765</v>
      </c>
      <c r="N10" s="434" t="str">
        <f>IF('Doors order'!B10="","",'Doors order'!B10)</f>
        <v/>
      </c>
      <c r="O10" s="435" t="str">
        <f>IF('Doors order'!C10="","",'Doors order'!C10)</f>
        <v/>
      </c>
      <c r="P10" s="435" t="str">
        <f>IF('Doors order'!D10="","",'Doors order'!D10)</f>
        <v/>
      </c>
      <c r="Q10" s="339" t="str">
        <f>IF('Doors order'!E10="","",'Doors order'!E10)</f>
        <v/>
      </c>
      <c r="R10" s="339" t="str">
        <f>IF('Doors order'!F10="","",'Doors order'!F10)</f>
        <v/>
      </c>
      <c r="S10" s="339" t="str">
        <f>IF('Doors order'!G10="","",'Doors order'!G10)</f>
        <v/>
      </c>
      <c r="T10" s="339" t="str">
        <f>IF('Doors order'!H10="","",'Doors order'!H10)</f>
        <v/>
      </c>
      <c r="U10" s="339" t="str">
        <f>IF('Doors order'!I10="","",'Doors order'!I10)</f>
        <v/>
      </c>
      <c r="V10" s="339" t="str">
        <f>IF('Doors order'!J10="","",'Doors order'!J10)</f>
        <v/>
      </c>
      <c r="W10" s="80"/>
      <c r="X10" s="365"/>
      <c r="Y10" s="335" t="s">
        <v>735</v>
      </c>
      <c r="Z10" s="434" t="str">
        <f>IF('Cava Doors order'!B10="","",'Cava Doors order'!B10)</f>
        <v/>
      </c>
      <c r="AA10" s="440" t="str">
        <f>IF('Cava Doors order'!C10="","",'Cava Doors order'!C10)</f>
        <v/>
      </c>
      <c r="AB10" s="440" t="str">
        <f>IF('Cava Doors order'!D10="","",'Cava Doors order'!D10)</f>
        <v/>
      </c>
      <c r="AC10" s="441" t="str">
        <f>IF('Cava Doors order'!E10="","",'Cava Doors order'!E10)</f>
        <v/>
      </c>
      <c r="AD10" s="441" t="str">
        <f>IF('Cava Doors order'!F10="","",'Cava Doors order'!F10)</f>
        <v/>
      </c>
      <c r="AE10" s="435" t="str">
        <f>AB10</f>
        <v/>
      </c>
      <c r="AF10" s="458" t="str">
        <f>IF(Z10="","",Z10*2)</f>
        <v/>
      </c>
      <c r="AG10" s="435" t="str">
        <f>IF(AA10="","",AA10-6)</f>
        <v/>
      </c>
      <c r="AH10" s="458" t="str">
        <f>IF(Z10="","",IF(AD10="DOOR 7 PIECES",Z10*3,IF(AD10="DOOR 9 PIECES",Z10*4,Z10*2)))</f>
        <v/>
      </c>
      <c r="AI10" s="435" t="str">
        <f>IF(AA10="","",((AA10-6)+0.625))</f>
        <v/>
      </c>
      <c r="AJ10" s="435" t="str">
        <f t="shared" ref="AJ10:AJ39" si="0">IF(AB10="","",IF(AD10="door 7 pieces",((AB10-9)/2)+0.625,IF(AD10="door 9 pieces",(((AB10-12))/2)+0.625,(AB10-6)+0.625)))</f>
        <v/>
      </c>
      <c r="AK10" s="458" t="str">
        <f>IF(Z10="","",IF(AD10="DOOR 7 PIECES",Z10*2,IF(AD10="DOOR 9 PIECES",Z10*3,Z10)))</f>
        <v/>
      </c>
      <c r="AL10" s="80"/>
    </row>
    <row r="11" spans="1:38" ht="21.75" customHeight="1" x14ac:dyDescent="0.25">
      <c r="A11" s="336" t="str">
        <f>IF('Panel order'!A11="","",'Panel order'!A11)</f>
        <v/>
      </c>
      <c r="B11" s="843" t="str">
        <f>IF('Panel order'!B11:G11="","",'Panel order'!B11:G11)</f>
        <v/>
      </c>
      <c r="C11" s="844"/>
      <c r="D11" s="845"/>
      <c r="E11" s="337" t="str">
        <f>IF('Panel order'!H11="","",'Panel order'!H11)</f>
        <v/>
      </c>
      <c r="F11" s="338"/>
      <c r="G11" s="843" t="str">
        <f>IF('Edge order'!B11="","",'Edge order'!B11)</f>
        <v/>
      </c>
      <c r="H11" s="845"/>
      <c r="I11" s="371" t="str">
        <f>IF('Edge order'!H11="","",'Edge order'!H11)</f>
        <v/>
      </c>
      <c r="J11" s="370" t="str">
        <f>IF('Edge order'!I11="","",'Edge order'!I11)</f>
        <v/>
      </c>
      <c r="K11" s="80"/>
      <c r="L11" s="365"/>
      <c r="M11" s="335" t="s">
        <v>766</v>
      </c>
      <c r="N11" s="434" t="str">
        <f>IF('Doors order'!B11="","",'Doors order'!B11)</f>
        <v/>
      </c>
      <c r="O11" s="435" t="str">
        <f>IF('Doors order'!C11="","",'Doors order'!C11)</f>
        <v/>
      </c>
      <c r="P11" s="435" t="str">
        <f>IF('Doors order'!D11="","",'Doors order'!D11)</f>
        <v/>
      </c>
      <c r="Q11" s="339" t="str">
        <f>IF('Doors order'!E11="","",'Doors order'!E11)</f>
        <v/>
      </c>
      <c r="R11" s="339" t="str">
        <f>IF('Doors order'!F11="","",'Doors order'!F11)</f>
        <v/>
      </c>
      <c r="S11" s="339" t="str">
        <f>IF('Doors order'!G11="","",'Doors order'!G11)</f>
        <v/>
      </c>
      <c r="T11" s="339" t="str">
        <f>IF('Doors order'!H11="","",'Doors order'!H11)</f>
        <v/>
      </c>
      <c r="U11" s="339" t="str">
        <f>IF('Doors order'!I11="","",'Doors order'!I11)</f>
        <v/>
      </c>
      <c r="V11" s="339" t="str">
        <f>IF('Doors order'!J11="","",'Doors order'!J11)</f>
        <v/>
      </c>
      <c r="W11" s="80"/>
      <c r="X11" s="365"/>
      <c r="Y11" s="335" t="s">
        <v>736</v>
      </c>
      <c r="Z11" s="434" t="str">
        <f>IF('Cava Doors order'!B11="","",'Cava Doors order'!B11)</f>
        <v/>
      </c>
      <c r="AA11" s="440" t="str">
        <f>IF('Cava Doors order'!C11="","",'Cava Doors order'!C11)</f>
        <v/>
      </c>
      <c r="AB11" s="440" t="str">
        <f>IF('Cava Doors order'!D11="","",'Cava Doors order'!D11)</f>
        <v/>
      </c>
      <c r="AC11" s="441" t="str">
        <f>IF('Cava Doors order'!E11="","",'Cava Doors order'!E11)</f>
        <v/>
      </c>
      <c r="AD11" s="441" t="str">
        <f>IF('Cava Doors order'!F11="","",'Cava Doors order'!F11)</f>
        <v/>
      </c>
      <c r="AE11" s="435" t="str">
        <f t="shared" ref="AE11:AE39" si="1">AB11</f>
        <v/>
      </c>
      <c r="AF11" s="458" t="str">
        <f t="shared" ref="AF11:AF39" si="2">IF(Z11="","",Z11*2)</f>
        <v/>
      </c>
      <c r="AG11" s="435" t="str">
        <f t="shared" ref="AG11:AG39" si="3">IF(AA11="","",AA11-6)</f>
        <v/>
      </c>
      <c r="AH11" s="458" t="str">
        <f t="shared" ref="AH11:AH39" si="4">IF(Z11="","",IF(AD11="DOOR 7 PIECES",Z11*3,IF(AD11="DOOR 9 PIECES",Z11*4,Z11*2)))</f>
        <v/>
      </c>
      <c r="AI11" s="435" t="str">
        <f t="shared" ref="AI11:AI39" si="5">IF(AA11="","",((AA11-6)+0.625))</f>
        <v/>
      </c>
      <c r="AJ11" s="435" t="str">
        <f t="shared" si="0"/>
        <v/>
      </c>
      <c r="AK11" s="458" t="str">
        <f t="shared" ref="AK11:AK39" si="6">IF(Z11="","",IF(AD11="DOOR 7 PIECES",Z11*2,IF(AD11="DOOR 9 PIECES",Z11*3,Z11)))</f>
        <v/>
      </c>
      <c r="AL11" s="80"/>
    </row>
    <row r="12" spans="1:38" ht="21.75" customHeight="1" x14ac:dyDescent="0.25">
      <c r="A12" s="336" t="str">
        <f>IF('Panel order'!A12="","",'Panel order'!A12)</f>
        <v/>
      </c>
      <c r="B12" s="843" t="str">
        <f>IF('Panel order'!B12:G12="","",'Panel order'!B12:G12)</f>
        <v/>
      </c>
      <c r="C12" s="844"/>
      <c r="D12" s="845"/>
      <c r="E12" s="337" t="str">
        <f>IF('Panel order'!H12="","",'Panel order'!H12)</f>
        <v/>
      </c>
      <c r="F12" s="338"/>
      <c r="G12" s="843" t="str">
        <f>IF('Edge order'!B12="","",'Edge order'!B12)</f>
        <v/>
      </c>
      <c r="H12" s="845"/>
      <c r="I12" s="371" t="str">
        <f>IF('Edge order'!H12="","",'Edge order'!H12)</f>
        <v/>
      </c>
      <c r="J12" s="370" t="str">
        <f>IF('Edge order'!I12="","",'Edge order'!I12)</f>
        <v/>
      </c>
      <c r="K12" s="80"/>
      <c r="L12" s="365"/>
      <c r="M12" s="335" t="s">
        <v>767</v>
      </c>
      <c r="N12" s="434" t="str">
        <f>IF('Doors order'!B12="","",'Doors order'!B12)</f>
        <v/>
      </c>
      <c r="O12" s="435" t="str">
        <f>IF('Doors order'!C12="","",'Doors order'!C12)</f>
        <v/>
      </c>
      <c r="P12" s="435" t="str">
        <f>IF('Doors order'!D12="","",'Doors order'!D12)</f>
        <v/>
      </c>
      <c r="Q12" s="339" t="str">
        <f>IF('Doors order'!E12="","",'Doors order'!E12)</f>
        <v/>
      </c>
      <c r="R12" s="339" t="str">
        <f>IF('Doors order'!F12="","",'Doors order'!F12)</f>
        <v/>
      </c>
      <c r="S12" s="339" t="str">
        <f>IF('Doors order'!G12="","",'Doors order'!G12)</f>
        <v/>
      </c>
      <c r="T12" s="339" t="str">
        <f>IF('Doors order'!H12="","",'Doors order'!H12)</f>
        <v/>
      </c>
      <c r="U12" s="339" t="str">
        <f>IF('Doors order'!I12="","",'Doors order'!I12)</f>
        <v/>
      </c>
      <c r="V12" s="339" t="str">
        <f>IF('Doors order'!J12="","",'Doors order'!J12)</f>
        <v/>
      </c>
      <c r="W12" s="80"/>
      <c r="X12" s="365"/>
      <c r="Y12" s="335" t="s">
        <v>737</v>
      </c>
      <c r="Z12" s="434" t="str">
        <f>IF('Cava Doors order'!B12="","",'Cava Doors order'!B12)</f>
        <v/>
      </c>
      <c r="AA12" s="440" t="str">
        <f>IF('Cava Doors order'!C12="","",'Cava Doors order'!C12)</f>
        <v/>
      </c>
      <c r="AB12" s="440" t="str">
        <f>IF('Cava Doors order'!D12="","",'Cava Doors order'!D12)</f>
        <v/>
      </c>
      <c r="AC12" s="441" t="str">
        <f>IF('Cava Doors order'!E12="","",'Cava Doors order'!E12)</f>
        <v/>
      </c>
      <c r="AD12" s="441" t="str">
        <f>IF('Cava Doors order'!F12="","",'Cava Doors order'!F12)</f>
        <v/>
      </c>
      <c r="AE12" s="435" t="str">
        <f t="shared" si="1"/>
        <v/>
      </c>
      <c r="AF12" s="458" t="str">
        <f t="shared" si="2"/>
        <v/>
      </c>
      <c r="AG12" s="435" t="str">
        <f t="shared" si="3"/>
        <v/>
      </c>
      <c r="AH12" s="458" t="str">
        <f t="shared" si="4"/>
        <v/>
      </c>
      <c r="AI12" s="435" t="str">
        <f t="shared" si="5"/>
        <v/>
      </c>
      <c r="AJ12" s="435" t="str">
        <f t="shared" si="0"/>
        <v/>
      </c>
      <c r="AK12" s="458" t="str">
        <f t="shared" si="6"/>
        <v/>
      </c>
      <c r="AL12" s="80"/>
    </row>
    <row r="13" spans="1:38" ht="21.75" customHeight="1" x14ac:dyDescent="0.25">
      <c r="A13" s="336" t="str">
        <f>IF('Panel order'!A13="","",'Panel order'!A13)</f>
        <v/>
      </c>
      <c r="B13" s="843" t="str">
        <f>IF('Panel order'!B13:G13="","",'Panel order'!B13:G13)</f>
        <v/>
      </c>
      <c r="C13" s="844"/>
      <c r="D13" s="845"/>
      <c r="E13" s="337" t="str">
        <f>IF('Panel order'!H13="","",'Panel order'!H13)</f>
        <v/>
      </c>
      <c r="F13" s="338"/>
      <c r="G13" s="843" t="str">
        <f>IF('Edge order'!B13="","",'Edge order'!B13)</f>
        <v/>
      </c>
      <c r="H13" s="845"/>
      <c r="I13" s="371" t="str">
        <f>IF('Edge order'!H13="","",'Edge order'!H13)</f>
        <v/>
      </c>
      <c r="J13" s="370" t="str">
        <f>IF('Edge order'!I13="","",'Edge order'!I13)</f>
        <v/>
      </c>
      <c r="K13" s="80"/>
      <c r="L13" s="365"/>
      <c r="M13" s="335" t="s">
        <v>768</v>
      </c>
      <c r="N13" s="434" t="str">
        <f>IF('Doors order'!B13="","",'Doors order'!B13)</f>
        <v/>
      </c>
      <c r="O13" s="435" t="str">
        <f>IF('Doors order'!C13="","",'Doors order'!C13)</f>
        <v/>
      </c>
      <c r="P13" s="435" t="str">
        <f>IF('Doors order'!D13="","",'Doors order'!D13)</f>
        <v/>
      </c>
      <c r="Q13" s="339" t="str">
        <f>IF('Doors order'!E13="","",'Doors order'!E13)</f>
        <v/>
      </c>
      <c r="R13" s="339" t="str">
        <f>IF('Doors order'!F13="","",'Doors order'!F13)</f>
        <v/>
      </c>
      <c r="S13" s="339" t="str">
        <f>IF('Doors order'!G13="","",'Doors order'!G13)</f>
        <v/>
      </c>
      <c r="T13" s="339" t="str">
        <f>IF('Doors order'!H13="","",'Doors order'!H13)</f>
        <v/>
      </c>
      <c r="U13" s="339" t="str">
        <f>IF('Doors order'!I13="","",'Doors order'!I13)</f>
        <v/>
      </c>
      <c r="V13" s="339" t="str">
        <f>IF('Doors order'!J13="","",'Doors order'!J13)</f>
        <v/>
      </c>
      <c r="W13" s="80"/>
      <c r="X13" s="365"/>
      <c r="Y13" s="335" t="s">
        <v>738</v>
      </c>
      <c r="Z13" s="434" t="str">
        <f>IF('Cava Doors order'!B13="","",'Cava Doors order'!B13)</f>
        <v/>
      </c>
      <c r="AA13" s="440" t="str">
        <f>IF('Cava Doors order'!C13="","",'Cava Doors order'!C13)</f>
        <v/>
      </c>
      <c r="AB13" s="440" t="str">
        <f>IF('Cava Doors order'!D13="","",'Cava Doors order'!D13)</f>
        <v/>
      </c>
      <c r="AC13" s="441" t="str">
        <f>IF('Cava Doors order'!E13="","",'Cava Doors order'!E13)</f>
        <v/>
      </c>
      <c r="AD13" s="441" t="str">
        <f>IF('Cava Doors order'!F13="","",'Cava Doors order'!F13)</f>
        <v/>
      </c>
      <c r="AE13" s="435" t="str">
        <f t="shared" si="1"/>
        <v/>
      </c>
      <c r="AF13" s="458" t="str">
        <f t="shared" si="2"/>
        <v/>
      </c>
      <c r="AG13" s="435" t="str">
        <f t="shared" si="3"/>
        <v/>
      </c>
      <c r="AH13" s="458" t="str">
        <f t="shared" si="4"/>
        <v/>
      </c>
      <c r="AI13" s="435" t="str">
        <f t="shared" si="5"/>
        <v/>
      </c>
      <c r="AJ13" s="435" t="str">
        <f t="shared" si="0"/>
        <v/>
      </c>
      <c r="AK13" s="458" t="str">
        <f t="shared" si="6"/>
        <v/>
      </c>
      <c r="AL13" s="80"/>
    </row>
    <row r="14" spans="1:38" ht="21.75" customHeight="1" x14ac:dyDescent="0.25">
      <c r="A14" s="336" t="str">
        <f>IF('Panel order'!A14="","",'Panel order'!A14)</f>
        <v/>
      </c>
      <c r="B14" s="843" t="str">
        <f>IF('Panel order'!B14:G14="","",'Panel order'!B14:G14)</f>
        <v/>
      </c>
      <c r="C14" s="844"/>
      <c r="D14" s="845"/>
      <c r="E14" s="337" t="str">
        <f>IF('Panel order'!H14="","",'Panel order'!H14)</f>
        <v/>
      </c>
      <c r="F14" s="338"/>
      <c r="G14" s="843" t="str">
        <f>IF('Edge order'!B14="","",'Edge order'!B14)</f>
        <v/>
      </c>
      <c r="H14" s="845"/>
      <c r="I14" s="371" t="str">
        <f>IF('Edge order'!H14="","",'Edge order'!H14)</f>
        <v/>
      </c>
      <c r="J14" s="370" t="str">
        <f>IF('Edge order'!I14="","",'Edge order'!I14)</f>
        <v/>
      </c>
      <c r="K14" s="80"/>
      <c r="L14" s="365"/>
      <c r="M14" s="335" t="s">
        <v>769</v>
      </c>
      <c r="N14" s="434" t="str">
        <f>IF('Doors order'!B14="","",'Doors order'!B14)</f>
        <v/>
      </c>
      <c r="O14" s="435" t="str">
        <f>IF('Doors order'!C14="","",'Doors order'!C14)</f>
        <v/>
      </c>
      <c r="P14" s="435" t="str">
        <f>IF('Doors order'!D14="","",'Doors order'!D14)</f>
        <v/>
      </c>
      <c r="Q14" s="339" t="str">
        <f>IF('Doors order'!E14="","",'Doors order'!E14)</f>
        <v/>
      </c>
      <c r="R14" s="339" t="str">
        <f>IF('Doors order'!F14="","",'Doors order'!F14)</f>
        <v/>
      </c>
      <c r="S14" s="339" t="str">
        <f>IF('Doors order'!G14="","",'Doors order'!G14)</f>
        <v/>
      </c>
      <c r="T14" s="339" t="str">
        <f>IF('Doors order'!H14="","",'Doors order'!H14)</f>
        <v/>
      </c>
      <c r="U14" s="339" t="str">
        <f>IF('Doors order'!I14="","",'Doors order'!I14)</f>
        <v/>
      </c>
      <c r="V14" s="339" t="str">
        <f>IF('Doors order'!J14="","",'Doors order'!J14)</f>
        <v/>
      </c>
      <c r="W14" s="80"/>
      <c r="X14" s="365"/>
      <c r="Y14" s="335" t="s">
        <v>739</v>
      </c>
      <c r="Z14" s="434" t="str">
        <f>IF('Cava Doors order'!B14="","",'Cava Doors order'!B14)</f>
        <v/>
      </c>
      <c r="AA14" s="440" t="str">
        <f>IF('Cava Doors order'!C14="","",'Cava Doors order'!C14)</f>
        <v/>
      </c>
      <c r="AB14" s="440" t="str">
        <f>IF('Cava Doors order'!D14="","",'Cava Doors order'!D14)</f>
        <v/>
      </c>
      <c r="AC14" s="441" t="str">
        <f>IF('Cava Doors order'!E14="","",'Cava Doors order'!E14)</f>
        <v/>
      </c>
      <c r="AD14" s="441" t="str">
        <f>IF('Cava Doors order'!F14="","",'Cava Doors order'!F14)</f>
        <v/>
      </c>
      <c r="AE14" s="435" t="str">
        <f t="shared" si="1"/>
        <v/>
      </c>
      <c r="AF14" s="458" t="str">
        <f t="shared" si="2"/>
        <v/>
      </c>
      <c r="AG14" s="435" t="str">
        <f t="shared" si="3"/>
        <v/>
      </c>
      <c r="AH14" s="458" t="str">
        <f t="shared" si="4"/>
        <v/>
      </c>
      <c r="AI14" s="435" t="str">
        <f t="shared" si="5"/>
        <v/>
      </c>
      <c r="AJ14" s="435" t="str">
        <f t="shared" si="0"/>
        <v/>
      </c>
      <c r="AK14" s="458" t="str">
        <f t="shared" si="6"/>
        <v/>
      </c>
      <c r="AL14" s="80"/>
    </row>
    <row r="15" spans="1:38" ht="21.75" customHeight="1" x14ac:dyDescent="0.25">
      <c r="A15" s="336" t="str">
        <f>IF('Panel order'!A15="","",'Panel order'!A15)</f>
        <v/>
      </c>
      <c r="B15" s="843" t="str">
        <f>IF('Panel order'!B15:G15="","",'Panel order'!B15:G15)</f>
        <v/>
      </c>
      <c r="C15" s="844"/>
      <c r="D15" s="845"/>
      <c r="E15" s="337" t="str">
        <f>IF('Panel order'!H15="","",'Panel order'!H15)</f>
        <v/>
      </c>
      <c r="F15" s="338"/>
      <c r="G15" s="843" t="str">
        <f>IF('Edge order'!B15="","",'Edge order'!B15)</f>
        <v/>
      </c>
      <c r="H15" s="845"/>
      <c r="I15" s="371" t="str">
        <f>IF('Edge order'!H15="","",'Edge order'!H15)</f>
        <v/>
      </c>
      <c r="J15" s="370" t="str">
        <f>IF('Edge order'!I15="","",'Edge order'!I15)</f>
        <v/>
      </c>
      <c r="K15" s="80"/>
      <c r="L15" s="365"/>
      <c r="M15" s="335" t="s">
        <v>770</v>
      </c>
      <c r="N15" s="434" t="str">
        <f>IF('Doors order'!B15="","",'Doors order'!B15)</f>
        <v/>
      </c>
      <c r="O15" s="435" t="str">
        <f>IF('Doors order'!C15="","",'Doors order'!C15)</f>
        <v/>
      </c>
      <c r="P15" s="435" t="str">
        <f>IF('Doors order'!D15="","",'Doors order'!D15)</f>
        <v/>
      </c>
      <c r="Q15" s="339" t="str">
        <f>IF('Doors order'!E15="","",'Doors order'!E15)</f>
        <v/>
      </c>
      <c r="R15" s="339" t="str">
        <f>IF('Doors order'!F15="","",'Doors order'!F15)</f>
        <v/>
      </c>
      <c r="S15" s="339" t="str">
        <f>IF('Doors order'!G15="","",'Doors order'!G15)</f>
        <v/>
      </c>
      <c r="T15" s="339" t="str">
        <f>IF('Doors order'!H15="","",'Doors order'!H15)</f>
        <v/>
      </c>
      <c r="U15" s="339" t="str">
        <f>IF('Doors order'!I15="","",'Doors order'!I15)</f>
        <v/>
      </c>
      <c r="V15" s="339" t="str">
        <f>IF('Doors order'!J15="","",'Doors order'!J15)</f>
        <v/>
      </c>
      <c r="W15" s="80"/>
      <c r="X15" s="365"/>
      <c r="Y15" s="335" t="s">
        <v>740</v>
      </c>
      <c r="Z15" s="434" t="str">
        <f>IF('Cava Doors order'!B15="","",'Cava Doors order'!B15)</f>
        <v/>
      </c>
      <c r="AA15" s="440" t="str">
        <f>IF('Cava Doors order'!C15="","",'Cava Doors order'!C15)</f>
        <v/>
      </c>
      <c r="AB15" s="440" t="str">
        <f>IF('Cava Doors order'!D15="","",'Cava Doors order'!D15)</f>
        <v/>
      </c>
      <c r="AC15" s="441" t="str">
        <f>IF('Cava Doors order'!E15="","",'Cava Doors order'!E15)</f>
        <v/>
      </c>
      <c r="AD15" s="441" t="str">
        <f>IF('Cava Doors order'!F15="","",'Cava Doors order'!F15)</f>
        <v/>
      </c>
      <c r="AE15" s="435" t="str">
        <f t="shared" si="1"/>
        <v/>
      </c>
      <c r="AF15" s="458" t="str">
        <f t="shared" si="2"/>
        <v/>
      </c>
      <c r="AG15" s="435" t="str">
        <f t="shared" si="3"/>
        <v/>
      </c>
      <c r="AH15" s="458" t="str">
        <f t="shared" si="4"/>
        <v/>
      </c>
      <c r="AI15" s="435" t="str">
        <f t="shared" si="5"/>
        <v/>
      </c>
      <c r="AJ15" s="435" t="str">
        <f t="shared" si="0"/>
        <v/>
      </c>
      <c r="AK15" s="458" t="str">
        <f t="shared" si="6"/>
        <v/>
      </c>
      <c r="AL15" s="80"/>
    </row>
    <row r="16" spans="1:38" ht="21.75" customHeight="1" x14ac:dyDescent="0.25">
      <c r="A16" s="336" t="str">
        <f>IF('Panel order'!A16="","",'Panel order'!A16)</f>
        <v/>
      </c>
      <c r="B16" s="843" t="str">
        <f>IF('Panel order'!B16:G16="","",'Panel order'!B16:G16)</f>
        <v/>
      </c>
      <c r="C16" s="844"/>
      <c r="D16" s="845"/>
      <c r="E16" s="337" t="str">
        <f>IF('Panel order'!H16="","",'Panel order'!H16)</f>
        <v/>
      </c>
      <c r="F16" s="338"/>
      <c r="G16" s="843" t="str">
        <f>IF('Edge order'!B16="","",'Edge order'!B16)</f>
        <v/>
      </c>
      <c r="H16" s="845"/>
      <c r="I16" s="371" t="str">
        <f>IF('Edge order'!H16="","",'Edge order'!H16)</f>
        <v/>
      </c>
      <c r="J16" s="370" t="str">
        <f>IF('Edge order'!I16="","",'Edge order'!I16)</f>
        <v/>
      </c>
      <c r="K16" s="80"/>
      <c r="L16" s="365"/>
      <c r="M16" s="335" t="s">
        <v>771</v>
      </c>
      <c r="N16" s="434" t="str">
        <f>IF('Doors order'!B16="","",'Doors order'!B16)</f>
        <v/>
      </c>
      <c r="O16" s="435" t="str">
        <f>IF('Doors order'!C16="","",'Doors order'!C16)</f>
        <v/>
      </c>
      <c r="P16" s="435" t="str">
        <f>IF('Doors order'!D16="","",'Doors order'!D16)</f>
        <v/>
      </c>
      <c r="Q16" s="339" t="str">
        <f>IF('Doors order'!E16="","",'Doors order'!E16)</f>
        <v/>
      </c>
      <c r="R16" s="339" t="str">
        <f>IF('Doors order'!F16="","",'Doors order'!F16)</f>
        <v/>
      </c>
      <c r="S16" s="339" t="str">
        <f>IF('Doors order'!G16="","",'Doors order'!G16)</f>
        <v/>
      </c>
      <c r="T16" s="339" t="str">
        <f>IF('Doors order'!H16="","",'Doors order'!H16)</f>
        <v/>
      </c>
      <c r="U16" s="339" t="str">
        <f>IF('Doors order'!I16="","",'Doors order'!I16)</f>
        <v/>
      </c>
      <c r="V16" s="339" t="str">
        <f>IF('Doors order'!J16="","",'Doors order'!J16)</f>
        <v/>
      </c>
      <c r="W16" s="80"/>
      <c r="X16" s="365"/>
      <c r="Y16" s="335" t="s">
        <v>741</v>
      </c>
      <c r="Z16" s="434" t="str">
        <f>IF('Cava Doors order'!B16="","",'Cava Doors order'!B16)</f>
        <v/>
      </c>
      <c r="AA16" s="440" t="str">
        <f>IF('Cava Doors order'!C16="","",'Cava Doors order'!C16)</f>
        <v/>
      </c>
      <c r="AB16" s="440" t="str">
        <f>IF('Cava Doors order'!D16="","",'Cava Doors order'!D16)</f>
        <v/>
      </c>
      <c r="AC16" s="441" t="str">
        <f>IF('Cava Doors order'!E16="","",'Cava Doors order'!E16)</f>
        <v/>
      </c>
      <c r="AD16" s="441" t="str">
        <f>IF('Cava Doors order'!F16="","",'Cava Doors order'!F16)</f>
        <v/>
      </c>
      <c r="AE16" s="435" t="str">
        <f t="shared" si="1"/>
        <v/>
      </c>
      <c r="AF16" s="458" t="str">
        <f t="shared" si="2"/>
        <v/>
      </c>
      <c r="AG16" s="435" t="str">
        <f t="shared" si="3"/>
        <v/>
      </c>
      <c r="AH16" s="458" t="str">
        <f t="shared" si="4"/>
        <v/>
      </c>
      <c r="AI16" s="435" t="str">
        <f t="shared" si="5"/>
        <v/>
      </c>
      <c r="AJ16" s="435" t="str">
        <f t="shared" si="0"/>
        <v/>
      </c>
      <c r="AK16" s="458" t="str">
        <f t="shared" si="6"/>
        <v/>
      </c>
      <c r="AL16" s="80"/>
    </row>
    <row r="17" spans="1:38" ht="21.75" customHeight="1" x14ac:dyDescent="0.25">
      <c r="A17" s="336" t="str">
        <f>IF('Panel order'!A17="","",'Panel order'!A17)</f>
        <v/>
      </c>
      <c r="B17" s="843" t="str">
        <f>IF('Panel order'!B17:G17="","",'Panel order'!B17:G17)</f>
        <v/>
      </c>
      <c r="C17" s="844"/>
      <c r="D17" s="845"/>
      <c r="E17" s="337" t="str">
        <f>IF('Panel order'!H17="","",'Panel order'!H17)</f>
        <v/>
      </c>
      <c r="F17" s="338"/>
      <c r="G17" s="843" t="str">
        <f>IF('Edge order'!B17="","",'Edge order'!B17)</f>
        <v/>
      </c>
      <c r="H17" s="845"/>
      <c r="I17" s="371" t="str">
        <f>IF('Edge order'!H17="","",'Edge order'!H17)</f>
        <v/>
      </c>
      <c r="J17" s="370" t="str">
        <f>IF('Edge order'!I17="","",'Edge order'!I17)</f>
        <v/>
      </c>
      <c r="K17" s="80"/>
      <c r="L17" s="365"/>
      <c r="M17" s="335" t="s">
        <v>772</v>
      </c>
      <c r="N17" s="434" t="str">
        <f>IF('Doors order'!B17="","",'Doors order'!B17)</f>
        <v/>
      </c>
      <c r="O17" s="435" t="str">
        <f>IF('Doors order'!C17="","",'Doors order'!C17)</f>
        <v/>
      </c>
      <c r="P17" s="435" t="str">
        <f>IF('Doors order'!D17="","",'Doors order'!D17)</f>
        <v/>
      </c>
      <c r="Q17" s="339" t="str">
        <f>IF('Doors order'!E17="","",'Doors order'!E17)</f>
        <v/>
      </c>
      <c r="R17" s="339" t="str">
        <f>IF('Doors order'!F17="","",'Doors order'!F17)</f>
        <v/>
      </c>
      <c r="S17" s="339" t="str">
        <f>IF('Doors order'!G17="","",'Doors order'!G17)</f>
        <v/>
      </c>
      <c r="T17" s="339" t="str">
        <f>IF('Doors order'!H17="","",'Doors order'!H17)</f>
        <v/>
      </c>
      <c r="U17" s="339" t="str">
        <f>IF('Doors order'!I17="","",'Doors order'!I17)</f>
        <v/>
      </c>
      <c r="V17" s="339" t="str">
        <f>IF('Doors order'!J17="","",'Doors order'!J17)</f>
        <v/>
      </c>
      <c r="W17" s="80"/>
      <c r="X17" s="365"/>
      <c r="Y17" s="335" t="s">
        <v>742</v>
      </c>
      <c r="Z17" s="434" t="str">
        <f>IF('Cava Doors order'!B17="","",'Cava Doors order'!B17)</f>
        <v/>
      </c>
      <c r="AA17" s="440" t="str">
        <f>IF('Cava Doors order'!C17="","",'Cava Doors order'!C17)</f>
        <v/>
      </c>
      <c r="AB17" s="440" t="str">
        <f>IF('Cava Doors order'!D17="","",'Cava Doors order'!D17)</f>
        <v/>
      </c>
      <c r="AC17" s="441" t="str">
        <f>IF('Cava Doors order'!E17="","",'Cava Doors order'!E17)</f>
        <v/>
      </c>
      <c r="AD17" s="441" t="str">
        <f>IF('Cava Doors order'!F17="","",'Cava Doors order'!F17)</f>
        <v/>
      </c>
      <c r="AE17" s="435" t="str">
        <f t="shared" si="1"/>
        <v/>
      </c>
      <c r="AF17" s="458" t="str">
        <f t="shared" si="2"/>
        <v/>
      </c>
      <c r="AG17" s="435" t="str">
        <f t="shared" si="3"/>
        <v/>
      </c>
      <c r="AH17" s="458" t="str">
        <f t="shared" si="4"/>
        <v/>
      </c>
      <c r="AI17" s="435" t="str">
        <f t="shared" si="5"/>
        <v/>
      </c>
      <c r="AJ17" s="435" t="str">
        <f t="shared" si="0"/>
        <v/>
      </c>
      <c r="AK17" s="458" t="str">
        <f t="shared" si="6"/>
        <v/>
      </c>
      <c r="AL17" s="80"/>
    </row>
    <row r="18" spans="1:38" ht="21.75" customHeight="1" x14ac:dyDescent="0.25">
      <c r="A18" s="336" t="str">
        <f>IF('Panel order'!A18="","",'Panel order'!A18)</f>
        <v/>
      </c>
      <c r="B18" s="843" t="str">
        <f>IF('Panel order'!B18:G18="","",'Panel order'!B18:G18)</f>
        <v/>
      </c>
      <c r="C18" s="844"/>
      <c r="D18" s="845"/>
      <c r="E18" s="337" t="str">
        <f>IF('Panel order'!H18="","",'Panel order'!H18)</f>
        <v/>
      </c>
      <c r="F18" s="338"/>
      <c r="G18" s="843" t="str">
        <f>IF('Edge order'!B18="","",'Edge order'!B18)</f>
        <v/>
      </c>
      <c r="H18" s="845"/>
      <c r="I18" s="371" t="str">
        <f>IF('Edge order'!H18="","",'Edge order'!H18)</f>
        <v/>
      </c>
      <c r="J18" s="370" t="str">
        <f>IF('Edge order'!I18="","",'Edge order'!I18)</f>
        <v/>
      </c>
      <c r="K18" s="80"/>
      <c r="L18" s="365"/>
      <c r="M18" s="335" t="s">
        <v>773</v>
      </c>
      <c r="N18" s="434" t="str">
        <f>IF('Doors order'!B18="","",'Doors order'!B18)</f>
        <v/>
      </c>
      <c r="O18" s="435" t="str">
        <f>IF('Doors order'!C18="","",'Doors order'!C18)</f>
        <v/>
      </c>
      <c r="P18" s="435" t="str">
        <f>IF('Doors order'!D18="","",'Doors order'!D18)</f>
        <v/>
      </c>
      <c r="Q18" s="339" t="str">
        <f>IF('Doors order'!E18="","",'Doors order'!E18)</f>
        <v/>
      </c>
      <c r="R18" s="339" t="str">
        <f>IF('Doors order'!F18="","",'Doors order'!F18)</f>
        <v/>
      </c>
      <c r="S18" s="339" t="str">
        <f>IF('Doors order'!G18="","",'Doors order'!G18)</f>
        <v/>
      </c>
      <c r="T18" s="339" t="str">
        <f>IF('Doors order'!H18="","",'Doors order'!H18)</f>
        <v/>
      </c>
      <c r="U18" s="339" t="str">
        <f>IF('Doors order'!I18="","",'Doors order'!I18)</f>
        <v/>
      </c>
      <c r="V18" s="339" t="str">
        <f>IF('Doors order'!J18="","",'Doors order'!J18)</f>
        <v/>
      </c>
      <c r="W18" s="80"/>
      <c r="X18" s="365"/>
      <c r="Y18" s="335" t="s">
        <v>743</v>
      </c>
      <c r="Z18" s="434" t="str">
        <f>IF('Cava Doors order'!B18="","",'Cava Doors order'!B18)</f>
        <v/>
      </c>
      <c r="AA18" s="440" t="str">
        <f>IF('Cava Doors order'!C18="","",'Cava Doors order'!C18)</f>
        <v/>
      </c>
      <c r="AB18" s="440" t="str">
        <f>IF('Cava Doors order'!D18="","",'Cava Doors order'!D18)</f>
        <v/>
      </c>
      <c r="AC18" s="441" t="str">
        <f>IF('Cava Doors order'!E18="","",'Cava Doors order'!E18)</f>
        <v/>
      </c>
      <c r="AD18" s="441" t="str">
        <f>IF('Cava Doors order'!F18="","",'Cava Doors order'!F18)</f>
        <v/>
      </c>
      <c r="AE18" s="435" t="str">
        <f t="shared" si="1"/>
        <v/>
      </c>
      <c r="AF18" s="458" t="str">
        <f t="shared" si="2"/>
        <v/>
      </c>
      <c r="AG18" s="435" t="str">
        <f t="shared" si="3"/>
        <v/>
      </c>
      <c r="AH18" s="458" t="str">
        <f t="shared" si="4"/>
        <v/>
      </c>
      <c r="AI18" s="435" t="str">
        <f t="shared" si="5"/>
        <v/>
      </c>
      <c r="AJ18" s="435" t="str">
        <f t="shared" si="0"/>
        <v/>
      </c>
      <c r="AK18" s="458" t="str">
        <f t="shared" si="6"/>
        <v/>
      </c>
      <c r="AL18" s="80"/>
    </row>
    <row r="19" spans="1:38" ht="21.75" customHeight="1" x14ac:dyDescent="0.25">
      <c r="A19" s="336" t="str">
        <f>IF('Panel order'!A19="","",'Panel order'!A19)</f>
        <v/>
      </c>
      <c r="B19" s="843" t="str">
        <f>IF('Panel order'!B19:G19="","",'Panel order'!B19:G19)</f>
        <v/>
      </c>
      <c r="C19" s="844"/>
      <c r="D19" s="845"/>
      <c r="E19" s="337" t="str">
        <f>IF('Panel order'!H19="","",'Panel order'!H19)</f>
        <v/>
      </c>
      <c r="F19" s="338"/>
      <c r="G19" s="843" t="str">
        <f>IF('Edge order'!B19="","",'Edge order'!B19)</f>
        <v/>
      </c>
      <c r="H19" s="845"/>
      <c r="I19" s="371" t="str">
        <f>IF('Edge order'!H19="","",'Edge order'!H19)</f>
        <v/>
      </c>
      <c r="J19" s="370" t="str">
        <f>IF('Edge order'!I19="","",'Edge order'!I19)</f>
        <v/>
      </c>
      <c r="K19" s="80"/>
      <c r="L19" s="365"/>
      <c r="M19" s="335" t="s">
        <v>774</v>
      </c>
      <c r="N19" s="434" t="str">
        <f>IF('Doors order'!B19="","",'Doors order'!B19)</f>
        <v/>
      </c>
      <c r="O19" s="435" t="str">
        <f>IF('Doors order'!C19="","",'Doors order'!C19)</f>
        <v/>
      </c>
      <c r="P19" s="435" t="str">
        <f>IF('Doors order'!D19="","",'Doors order'!D19)</f>
        <v/>
      </c>
      <c r="Q19" s="339" t="str">
        <f>IF('Doors order'!E19="","",'Doors order'!E19)</f>
        <v/>
      </c>
      <c r="R19" s="339" t="str">
        <f>IF('Doors order'!F19="","",'Doors order'!F19)</f>
        <v/>
      </c>
      <c r="S19" s="339" t="str">
        <f>IF('Doors order'!G19="","",'Doors order'!G19)</f>
        <v/>
      </c>
      <c r="T19" s="339" t="str">
        <f>IF('Doors order'!H19="","",'Doors order'!H19)</f>
        <v/>
      </c>
      <c r="U19" s="339" t="str">
        <f>IF('Doors order'!I19="","",'Doors order'!I19)</f>
        <v/>
      </c>
      <c r="V19" s="339" t="str">
        <f>IF('Doors order'!J19="","",'Doors order'!J19)</f>
        <v/>
      </c>
      <c r="W19" s="80"/>
      <c r="X19" s="365"/>
      <c r="Y19" s="335" t="s">
        <v>744</v>
      </c>
      <c r="Z19" s="434" t="str">
        <f>IF('Cava Doors order'!B19="","",'Cava Doors order'!B19)</f>
        <v/>
      </c>
      <c r="AA19" s="440" t="str">
        <f>IF('Cava Doors order'!C19="","",'Cava Doors order'!C19)</f>
        <v/>
      </c>
      <c r="AB19" s="440" t="str">
        <f>IF('Cava Doors order'!D19="","",'Cava Doors order'!D19)</f>
        <v/>
      </c>
      <c r="AC19" s="441" t="str">
        <f>IF('Cava Doors order'!E19="","",'Cava Doors order'!E19)</f>
        <v/>
      </c>
      <c r="AD19" s="441" t="str">
        <f>IF('Cava Doors order'!F19="","",'Cava Doors order'!F19)</f>
        <v/>
      </c>
      <c r="AE19" s="435" t="str">
        <f t="shared" si="1"/>
        <v/>
      </c>
      <c r="AF19" s="458" t="str">
        <f t="shared" si="2"/>
        <v/>
      </c>
      <c r="AG19" s="435" t="str">
        <f t="shared" si="3"/>
        <v/>
      </c>
      <c r="AH19" s="458" t="str">
        <f t="shared" si="4"/>
        <v/>
      </c>
      <c r="AI19" s="435" t="str">
        <f t="shared" si="5"/>
        <v/>
      </c>
      <c r="AJ19" s="435" t="str">
        <f t="shared" si="0"/>
        <v/>
      </c>
      <c r="AK19" s="458" t="str">
        <f t="shared" si="6"/>
        <v/>
      </c>
      <c r="AL19" s="80"/>
    </row>
    <row r="20" spans="1:38" ht="21.75" customHeight="1" x14ac:dyDescent="0.25">
      <c r="A20" s="336" t="str">
        <f>IF('Panel order'!A20="","",'Panel order'!A20)</f>
        <v/>
      </c>
      <c r="B20" s="843" t="str">
        <f>IF('Panel order'!B20:G20="","",'Panel order'!B20:G20)</f>
        <v/>
      </c>
      <c r="C20" s="844"/>
      <c r="D20" s="845"/>
      <c r="E20" s="337" t="str">
        <f>IF('Panel order'!H20="","",'Panel order'!H20)</f>
        <v/>
      </c>
      <c r="F20" s="338"/>
      <c r="G20" s="843" t="str">
        <f>IF('Edge order'!B20="","",'Edge order'!B20)</f>
        <v/>
      </c>
      <c r="H20" s="845"/>
      <c r="I20" s="371" t="str">
        <f>IF('Edge order'!H20="","",'Edge order'!H20)</f>
        <v/>
      </c>
      <c r="J20" s="370" t="str">
        <f>IF('Edge order'!I20="","",'Edge order'!I20)</f>
        <v/>
      </c>
      <c r="K20" s="80"/>
      <c r="L20" s="365"/>
      <c r="M20" s="335" t="s">
        <v>775</v>
      </c>
      <c r="N20" s="434" t="str">
        <f>IF('Doors order'!B20="","",'Doors order'!B20)</f>
        <v/>
      </c>
      <c r="O20" s="435" t="str">
        <f>IF('Doors order'!C20="","",'Doors order'!C20)</f>
        <v/>
      </c>
      <c r="P20" s="435" t="str">
        <f>IF('Doors order'!D20="","",'Doors order'!D20)</f>
        <v/>
      </c>
      <c r="Q20" s="339" t="str">
        <f>IF('Doors order'!E20="","",'Doors order'!E20)</f>
        <v/>
      </c>
      <c r="R20" s="339" t="str">
        <f>IF('Doors order'!F20="","",'Doors order'!F20)</f>
        <v/>
      </c>
      <c r="S20" s="339" t="str">
        <f>IF('Doors order'!G20="","",'Doors order'!G20)</f>
        <v/>
      </c>
      <c r="T20" s="339" t="str">
        <f>IF('Doors order'!H20="","",'Doors order'!H20)</f>
        <v/>
      </c>
      <c r="U20" s="339" t="str">
        <f>IF('Doors order'!I20="","",'Doors order'!I20)</f>
        <v/>
      </c>
      <c r="V20" s="339" t="str">
        <f>IF('Doors order'!J20="","",'Doors order'!J20)</f>
        <v/>
      </c>
      <c r="W20" s="80"/>
      <c r="X20" s="365"/>
      <c r="Y20" s="335" t="s">
        <v>745</v>
      </c>
      <c r="Z20" s="434" t="str">
        <f>IF('Cava Doors order'!B20="","",'Cava Doors order'!B20)</f>
        <v/>
      </c>
      <c r="AA20" s="440" t="str">
        <f>IF('Cava Doors order'!C20="","",'Cava Doors order'!C20)</f>
        <v/>
      </c>
      <c r="AB20" s="440" t="str">
        <f>IF('Cava Doors order'!D20="","",'Cava Doors order'!D20)</f>
        <v/>
      </c>
      <c r="AC20" s="441" t="str">
        <f>IF('Cava Doors order'!E20="","",'Cava Doors order'!E20)</f>
        <v/>
      </c>
      <c r="AD20" s="441" t="str">
        <f>IF('Cava Doors order'!F20="","",'Cava Doors order'!F20)</f>
        <v/>
      </c>
      <c r="AE20" s="435" t="str">
        <f t="shared" si="1"/>
        <v/>
      </c>
      <c r="AF20" s="458" t="str">
        <f t="shared" si="2"/>
        <v/>
      </c>
      <c r="AG20" s="435" t="str">
        <f t="shared" si="3"/>
        <v/>
      </c>
      <c r="AH20" s="458" t="str">
        <f t="shared" si="4"/>
        <v/>
      </c>
      <c r="AI20" s="435" t="str">
        <f t="shared" si="5"/>
        <v/>
      </c>
      <c r="AJ20" s="435" t="str">
        <f t="shared" si="0"/>
        <v/>
      </c>
      <c r="AK20" s="458" t="str">
        <f t="shared" si="6"/>
        <v/>
      </c>
      <c r="AL20" s="80"/>
    </row>
    <row r="21" spans="1:38" ht="21.75" customHeight="1" x14ac:dyDescent="0.25">
      <c r="A21" s="336" t="str">
        <f>IF('Panel order'!A21="","",'Panel order'!A21)</f>
        <v/>
      </c>
      <c r="B21" s="843" t="str">
        <f>IF('Panel order'!B21:G21="","",'Panel order'!B21:G21)</f>
        <v/>
      </c>
      <c r="C21" s="844"/>
      <c r="D21" s="845"/>
      <c r="E21" s="337" t="str">
        <f>IF('Panel order'!H21="","",'Panel order'!H21)</f>
        <v/>
      </c>
      <c r="F21" s="338"/>
      <c r="G21" s="843" t="str">
        <f>IF('Edge order'!B21="","",'Edge order'!B21)</f>
        <v/>
      </c>
      <c r="H21" s="845"/>
      <c r="I21" s="371" t="str">
        <f>IF('Edge order'!H21="","",'Edge order'!H21)</f>
        <v/>
      </c>
      <c r="J21" s="370" t="str">
        <f>IF('Edge order'!I21="","",'Edge order'!I21)</f>
        <v/>
      </c>
      <c r="K21" s="80"/>
      <c r="L21" s="365"/>
      <c r="M21" s="335" t="s">
        <v>776</v>
      </c>
      <c r="N21" s="434" t="str">
        <f>IF('Doors order'!B21="","",'Doors order'!B21)</f>
        <v/>
      </c>
      <c r="O21" s="435" t="str">
        <f>IF('Doors order'!C21="","",'Doors order'!C21)</f>
        <v/>
      </c>
      <c r="P21" s="435" t="str">
        <f>IF('Doors order'!D21="","",'Doors order'!D21)</f>
        <v/>
      </c>
      <c r="Q21" s="339" t="str">
        <f>IF('Doors order'!E21="","",'Doors order'!E21)</f>
        <v/>
      </c>
      <c r="R21" s="339" t="str">
        <f>IF('Doors order'!F21="","",'Doors order'!F21)</f>
        <v/>
      </c>
      <c r="S21" s="339" t="str">
        <f>IF('Doors order'!G21="","",'Doors order'!G21)</f>
        <v/>
      </c>
      <c r="T21" s="339" t="str">
        <f>IF('Doors order'!H21="","",'Doors order'!H21)</f>
        <v/>
      </c>
      <c r="U21" s="339" t="str">
        <f>IF('Doors order'!I21="","",'Doors order'!I21)</f>
        <v/>
      </c>
      <c r="V21" s="339" t="str">
        <f>IF('Doors order'!J21="","",'Doors order'!J21)</f>
        <v/>
      </c>
      <c r="W21" s="80"/>
      <c r="X21" s="365"/>
      <c r="Y21" s="335" t="s">
        <v>746</v>
      </c>
      <c r="Z21" s="434" t="str">
        <f>IF('Cava Doors order'!B21="","",'Cava Doors order'!B21)</f>
        <v/>
      </c>
      <c r="AA21" s="440" t="str">
        <f>IF('Cava Doors order'!C21="","",'Cava Doors order'!C21)</f>
        <v/>
      </c>
      <c r="AB21" s="440" t="str">
        <f>IF('Cava Doors order'!D21="","",'Cava Doors order'!D21)</f>
        <v/>
      </c>
      <c r="AC21" s="441" t="str">
        <f>IF('Cava Doors order'!E21="","",'Cava Doors order'!E21)</f>
        <v/>
      </c>
      <c r="AD21" s="441" t="str">
        <f>IF('Cava Doors order'!F21="","",'Cava Doors order'!F21)</f>
        <v/>
      </c>
      <c r="AE21" s="435" t="str">
        <f t="shared" si="1"/>
        <v/>
      </c>
      <c r="AF21" s="458" t="str">
        <f t="shared" si="2"/>
        <v/>
      </c>
      <c r="AG21" s="435" t="str">
        <f t="shared" si="3"/>
        <v/>
      </c>
      <c r="AH21" s="458" t="str">
        <f t="shared" si="4"/>
        <v/>
      </c>
      <c r="AI21" s="435" t="str">
        <f t="shared" si="5"/>
        <v/>
      </c>
      <c r="AJ21" s="435" t="str">
        <f t="shared" si="0"/>
        <v/>
      </c>
      <c r="AK21" s="458" t="str">
        <f t="shared" si="6"/>
        <v/>
      </c>
      <c r="AL21" s="80"/>
    </row>
    <row r="22" spans="1:38" ht="21.75" customHeight="1" x14ac:dyDescent="0.25">
      <c r="A22" s="336" t="str">
        <f>IF('Panel order'!A22="","",'Panel order'!A22)</f>
        <v/>
      </c>
      <c r="B22" s="843" t="str">
        <f>IF('Panel order'!B22:G22="","",'Panel order'!B22:G22)</f>
        <v/>
      </c>
      <c r="C22" s="844"/>
      <c r="D22" s="845"/>
      <c r="E22" s="337" t="str">
        <f>IF('Panel order'!H22="","",'Panel order'!H22)</f>
        <v/>
      </c>
      <c r="F22" s="338"/>
      <c r="G22" s="843" t="str">
        <f>IF('Edge order'!B22="","",'Edge order'!B22)</f>
        <v/>
      </c>
      <c r="H22" s="845"/>
      <c r="I22" s="371" t="str">
        <f>IF('Edge order'!H22="","",'Edge order'!H22)</f>
        <v/>
      </c>
      <c r="J22" s="370" t="str">
        <f>IF('Edge order'!I22="","",'Edge order'!I22)</f>
        <v/>
      </c>
      <c r="K22" s="80"/>
      <c r="L22" s="365"/>
      <c r="M22" s="335" t="s">
        <v>777</v>
      </c>
      <c r="N22" s="434" t="str">
        <f>IF('Doors order'!B22="","",'Doors order'!B22)</f>
        <v/>
      </c>
      <c r="O22" s="435" t="str">
        <f>IF('Doors order'!C22="","",'Doors order'!C22)</f>
        <v/>
      </c>
      <c r="P22" s="435" t="str">
        <f>IF('Doors order'!D22="","",'Doors order'!D22)</f>
        <v/>
      </c>
      <c r="Q22" s="339" t="str">
        <f>IF('Doors order'!E22="","",'Doors order'!E22)</f>
        <v/>
      </c>
      <c r="R22" s="339" t="str">
        <f>IF('Doors order'!F22="","",'Doors order'!F22)</f>
        <v/>
      </c>
      <c r="S22" s="339" t="str">
        <f>IF('Doors order'!G22="","",'Doors order'!G22)</f>
        <v/>
      </c>
      <c r="T22" s="339" t="str">
        <f>IF('Doors order'!H22="","",'Doors order'!H22)</f>
        <v/>
      </c>
      <c r="U22" s="339" t="str">
        <f>IF('Doors order'!I22="","",'Doors order'!I22)</f>
        <v/>
      </c>
      <c r="V22" s="339" t="str">
        <f>IF('Doors order'!J22="","",'Doors order'!J22)</f>
        <v/>
      </c>
      <c r="W22" s="80"/>
      <c r="X22" s="365"/>
      <c r="Y22" s="335" t="s">
        <v>747</v>
      </c>
      <c r="Z22" s="434" t="str">
        <f>IF('Cava Doors order'!B22="","",'Cava Doors order'!B22)</f>
        <v/>
      </c>
      <c r="AA22" s="440" t="str">
        <f>IF('Cava Doors order'!C22="","",'Cava Doors order'!C22)</f>
        <v/>
      </c>
      <c r="AB22" s="440" t="str">
        <f>IF('Cava Doors order'!D22="","",'Cava Doors order'!D22)</f>
        <v/>
      </c>
      <c r="AC22" s="441" t="str">
        <f>IF('Cava Doors order'!E22="","",'Cava Doors order'!E22)</f>
        <v/>
      </c>
      <c r="AD22" s="441" t="str">
        <f>IF('Cava Doors order'!F22="","",'Cava Doors order'!F22)</f>
        <v/>
      </c>
      <c r="AE22" s="435" t="str">
        <f t="shared" si="1"/>
        <v/>
      </c>
      <c r="AF22" s="458" t="str">
        <f t="shared" si="2"/>
        <v/>
      </c>
      <c r="AG22" s="435" t="str">
        <f t="shared" si="3"/>
        <v/>
      </c>
      <c r="AH22" s="458" t="str">
        <f t="shared" si="4"/>
        <v/>
      </c>
      <c r="AI22" s="435" t="str">
        <f t="shared" si="5"/>
        <v/>
      </c>
      <c r="AJ22" s="435" t="str">
        <f t="shared" si="0"/>
        <v/>
      </c>
      <c r="AK22" s="458" t="str">
        <f t="shared" si="6"/>
        <v/>
      </c>
      <c r="AL22" s="80"/>
    </row>
    <row r="23" spans="1:38" ht="21.75" customHeight="1" x14ac:dyDescent="0.25">
      <c r="A23" s="336" t="str">
        <f>IF('Panel order'!A23="","",'Panel order'!A23)</f>
        <v/>
      </c>
      <c r="B23" s="843" t="str">
        <f>IF('Panel order'!B23:G23="","",'Panel order'!B23:G23)</f>
        <v/>
      </c>
      <c r="C23" s="844"/>
      <c r="D23" s="845"/>
      <c r="E23" s="337" t="str">
        <f>IF('Panel order'!H23="","",'Panel order'!H23)</f>
        <v/>
      </c>
      <c r="F23" s="338"/>
      <c r="G23" s="843" t="str">
        <f>IF('Edge order'!B23="","",'Edge order'!B23)</f>
        <v/>
      </c>
      <c r="H23" s="845"/>
      <c r="I23" s="371" t="str">
        <f>IF('Edge order'!H23="","",'Edge order'!H23)</f>
        <v/>
      </c>
      <c r="J23" s="370" t="str">
        <f>IF('Edge order'!I23="","",'Edge order'!I23)</f>
        <v/>
      </c>
      <c r="K23" s="80"/>
      <c r="L23" s="365"/>
      <c r="M23" s="335" t="s">
        <v>778</v>
      </c>
      <c r="N23" s="434" t="str">
        <f>IF('Doors order'!B23="","",'Doors order'!B23)</f>
        <v/>
      </c>
      <c r="O23" s="435" t="str">
        <f>IF('Doors order'!C23="","",'Doors order'!C23)</f>
        <v/>
      </c>
      <c r="P23" s="435" t="str">
        <f>IF('Doors order'!D23="","",'Doors order'!D23)</f>
        <v/>
      </c>
      <c r="Q23" s="339" t="str">
        <f>IF('Doors order'!E23="","",'Doors order'!E23)</f>
        <v/>
      </c>
      <c r="R23" s="339" t="str">
        <f>IF('Doors order'!F23="","",'Doors order'!F23)</f>
        <v/>
      </c>
      <c r="S23" s="339" t="str">
        <f>IF('Doors order'!G23="","",'Doors order'!G23)</f>
        <v/>
      </c>
      <c r="T23" s="339" t="str">
        <f>IF('Doors order'!H23="","",'Doors order'!H23)</f>
        <v/>
      </c>
      <c r="U23" s="339" t="str">
        <f>IF('Doors order'!I23="","",'Doors order'!I23)</f>
        <v/>
      </c>
      <c r="V23" s="339" t="str">
        <f>IF('Doors order'!J23="","",'Doors order'!J23)</f>
        <v/>
      </c>
      <c r="W23" s="80"/>
      <c r="X23" s="365"/>
      <c r="Y23" s="335" t="s">
        <v>748</v>
      </c>
      <c r="Z23" s="434" t="str">
        <f>IF('Cava Doors order'!B23="","",'Cava Doors order'!B23)</f>
        <v/>
      </c>
      <c r="AA23" s="440" t="str">
        <f>IF('Cava Doors order'!C23="","",'Cava Doors order'!C23)</f>
        <v/>
      </c>
      <c r="AB23" s="440" t="str">
        <f>IF('Cava Doors order'!D23="","",'Cava Doors order'!D23)</f>
        <v/>
      </c>
      <c r="AC23" s="441" t="str">
        <f>IF('Cava Doors order'!E23="","",'Cava Doors order'!E23)</f>
        <v/>
      </c>
      <c r="AD23" s="441" t="str">
        <f>IF('Cava Doors order'!F23="","",'Cava Doors order'!F23)</f>
        <v/>
      </c>
      <c r="AE23" s="435" t="str">
        <f t="shared" si="1"/>
        <v/>
      </c>
      <c r="AF23" s="458" t="str">
        <f t="shared" si="2"/>
        <v/>
      </c>
      <c r="AG23" s="435" t="str">
        <f t="shared" si="3"/>
        <v/>
      </c>
      <c r="AH23" s="458" t="str">
        <f t="shared" si="4"/>
        <v/>
      </c>
      <c r="AI23" s="435" t="str">
        <f t="shared" si="5"/>
        <v/>
      </c>
      <c r="AJ23" s="435" t="str">
        <f t="shared" si="0"/>
        <v/>
      </c>
      <c r="AK23" s="458" t="str">
        <f t="shared" si="6"/>
        <v/>
      </c>
      <c r="AL23" s="80"/>
    </row>
    <row r="24" spans="1:38" ht="21.75" customHeight="1" x14ac:dyDescent="0.25">
      <c r="A24" s="336" t="str">
        <f>IF('Panel order'!A24="","",'Panel order'!A24)</f>
        <v/>
      </c>
      <c r="B24" s="843" t="str">
        <f>IF('Panel order'!B24:G24="","",'Panel order'!B24:G24)</f>
        <v/>
      </c>
      <c r="C24" s="844"/>
      <c r="D24" s="845"/>
      <c r="E24" s="337" t="str">
        <f>IF('Panel order'!H24="","",'Panel order'!H24)</f>
        <v/>
      </c>
      <c r="F24" s="338"/>
      <c r="G24" s="843" t="str">
        <f>IF('Edge order'!B24="","",'Edge order'!B24)</f>
        <v/>
      </c>
      <c r="H24" s="845"/>
      <c r="I24" s="371" t="str">
        <f>IF('Edge order'!H24="","",'Edge order'!H24)</f>
        <v/>
      </c>
      <c r="J24" s="370" t="str">
        <f>IF('Edge order'!I24="","",'Edge order'!I24)</f>
        <v/>
      </c>
      <c r="K24" s="80"/>
      <c r="L24" s="365"/>
      <c r="M24" s="335" t="s">
        <v>779</v>
      </c>
      <c r="N24" s="434" t="str">
        <f>IF('Doors order'!B24="","",'Doors order'!B24)</f>
        <v/>
      </c>
      <c r="O24" s="435" t="str">
        <f>IF('Doors order'!C24="","",'Doors order'!C24)</f>
        <v/>
      </c>
      <c r="P24" s="435" t="str">
        <f>IF('Doors order'!D24="","",'Doors order'!D24)</f>
        <v/>
      </c>
      <c r="Q24" s="339" t="str">
        <f>IF('Doors order'!E24="","",'Doors order'!E24)</f>
        <v/>
      </c>
      <c r="R24" s="339" t="str">
        <f>IF('Doors order'!F24="","",'Doors order'!F24)</f>
        <v/>
      </c>
      <c r="S24" s="339" t="str">
        <f>IF('Doors order'!G24="","",'Doors order'!G24)</f>
        <v/>
      </c>
      <c r="T24" s="339" t="str">
        <f>IF('Doors order'!H24="","",'Doors order'!H24)</f>
        <v/>
      </c>
      <c r="U24" s="339" t="str">
        <f>IF('Doors order'!I24="","",'Doors order'!I24)</f>
        <v/>
      </c>
      <c r="V24" s="339" t="str">
        <f>IF('Doors order'!J24="","",'Doors order'!J24)</f>
        <v/>
      </c>
      <c r="W24" s="80"/>
      <c r="X24" s="365"/>
      <c r="Y24" s="335" t="s">
        <v>749</v>
      </c>
      <c r="Z24" s="434" t="str">
        <f>IF('Cava Doors order'!B24="","",'Cava Doors order'!B24)</f>
        <v/>
      </c>
      <c r="AA24" s="440" t="str">
        <f>IF('Cava Doors order'!C24="","",'Cava Doors order'!C24)</f>
        <v/>
      </c>
      <c r="AB24" s="440" t="str">
        <f>IF('Cava Doors order'!D24="","",'Cava Doors order'!D24)</f>
        <v/>
      </c>
      <c r="AC24" s="441" t="str">
        <f>IF('Cava Doors order'!E24="","",'Cava Doors order'!E24)</f>
        <v/>
      </c>
      <c r="AD24" s="441" t="str">
        <f>IF('Cava Doors order'!F24="","",'Cava Doors order'!F24)</f>
        <v/>
      </c>
      <c r="AE24" s="435" t="str">
        <f t="shared" si="1"/>
        <v/>
      </c>
      <c r="AF24" s="458" t="str">
        <f t="shared" si="2"/>
        <v/>
      </c>
      <c r="AG24" s="435" t="str">
        <f t="shared" si="3"/>
        <v/>
      </c>
      <c r="AH24" s="458" t="str">
        <f t="shared" si="4"/>
        <v/>
      </c>
      <c r="AI24" s="435" t="str">
        <f t="shared" si="5"/>
        <v/>
      </c>
      <c r="AJ24" s="435" t="str">
        <f t="shared" si="0"/>
        <v/>
      </c>
      <c r="AK24" s="458" t="str">
        <f t="shared" si="6"/>
        <v/>
      </c>
      <c r="AL24" s="80"/>
    </row>
    <row r="25" spans="1:38" ht="21.75" customHeight="1" x14ac:dyDescent="0.25">
      <c r="A25" s="336" t="str">
        <f>IF('Panel order'!A25="","",'Panel order'!A25)</f>
        <v/>
      </c>
      <c r="B25" s="843" t="str">
        <f>IF('Panel order'!B25:G25="","",'Panel order'!B25:G25)</f>
        <v/>
      </c>
      <c r="C25" s="844"/>
      <c r="D25" s="845"/>
      <c r="E25" s="337" t="str">
        <f>IF('Panel order'!H25="","",'Panel order'!H25)</f>
        <v/>
      </c>
      <c r="F25" s="338"/>
      <c r="G25" s="843" t="str">
        <f>IF('Edge order'!B25="","",'Edge order'!B25)</f>
        <v/>
      </c>
      <c r="H25" s="845"/>
      <c r="I25" s="371" t="str">
        <f>IF('Edge order'!H25="","",'Edge order'!H25)</f>
        <v/>
      </c>
      <c r="J25" s="370" t="str">
        <f>IF('Edge order'!I25="","",'Edge order'!I25)</f>
        <v/>
      </c>
      <c r="K25" s="80"/>
      <c r="L25" s="365"/>
      <c r="M25" s="335" t="s">
        <v>780</v>
      </c>
      <c r="N25" s="434" t="str">
        <f>IF('Doors order'!B25="","",'Doors order'!B25)</f>
        <v/>
      </c>
      <c r="O25" s="435" t="str">
        <f>IF('Doors order'!C25="","",'Doors order'!C25)</f>
        <v/>
      </c>
      <c r="P25" s="435" t="str">
        <f>IF('Doors order'!D25="","",'Doors order'!D25)</f>
        <v/>
      </c>
      <c r="Q25" s="339" t="str">
        <f>IF('Doors order'!E25="","",'Doors order'!E25)</f>
        <v/>
      </c>
      <c r="R25" s="339" t="str">
        <f>IF('Doors order'!F25="","",'Doors order'!F25)</f>
        <v/>
      </c>
      <c r="S25" s="339" t="str">
        <f>IF('Doors order'!G25="","",'Doors order'!G25)</f>
        <v/>
      </c>
      <c r="T25" s="339" t="str">
        <f>IF('Doors order'!H25="","",'Doors order'!H25)</f>
        <v/>
      </c>
      <c r="U25" s="339" t="str">
        <f>IF('Doors order'!I25="","",'Doors order'!I25)</f>
        <v/>
      </c>
      <c r="V25" s="339" t="str">
        <f>IF('Doors order'!J25="","",'Doors order'!J25)</f>
        <v/>
      </c>
      <c r="W25" s="80"/>
      <c r="X25" s="365"/>
      <c r="Y25" s="335" t="s">
        <v>750</v>
      </c>
      <c r="Z25" s="434" t="str">
        <f>IF('Cava Doors order'!B25="","",'Cava Doors order'!B25)</f>
        <v/>
      </c>
      <c r="AA25" s="440" t="str">
        <f>IF('Cava Doors order'!C25="","",'Cava Doors order'!C25)</f>
        <v/>
      </c>
      <c r="AB25" s="440" t="str">
        <f>IF('Cava Doors order'!D25="","",'Cava Doors order'!D25)</f>
        <v/>
      </c>
      <c r="AC25" s="441" t="str">
        <f>IF('Cava Doors order'!E25="","",'Cava Doors order'!E25)</f>
        <v/>
      </c>
      <c r="AD25" s="441" t="str">
        <f>IF('Cava Doors order'!F25="","",'Cava Doors order'!F25)</f>
        <v/>
      </c>
      <c r="AE25" s="435" t="str">
        <f t="shared" si="1"/>
        <v/>
      </c>
      <c r="AF25" s="458" t="str">
        <f t="shared" si="2"/>
        <v/>
      </c>
      <c r="AG25" s="435" t="str">
        <f t="shared" si="3"/>
        <v/>
      </c>
      <c r="AH25" s="458" t="str">
        <f t="shared" si="4"/>
        <v/>
      </c>
      <c r="AI25" s="435" t="str">
        <f t="shared" si="5"/>
        <v/>
      </c>
      <c r="AJ25" s="435" t="str">
        <f t="shared" si="0"/>
        <v/>
      </c>
      <c r="AK25" s="458" t="str">
        <f t="shared" si="6"/>
        <v/>
      </c>
      <c r="AL25" s="80"/>
    </row>
    <row r="26" spans="1:38" ht="21.75" customHeight="1" x14ac:dyDescent="0.25">
      <c r="A26" s="336" t="str">
        <f>IF('Panel order'!A26="","",'Panel order'!A26)</f>
        <v/>
      </c>
      <c r="B26" s="843" t="str">
        <f>IF('Panel order'!B26:G26="","",'Panel order'!B26:G26)</f>
        <v/>
      </c>
      <c r="C26" s="844"/>
      <c r="D26" s="845"/>
      <c r="E26" s="337" t="str">
        <f>IF('Panel order'!H26="","",'Panel order'!H26)</f>
        <v/>
      </c>
      <c r="F26" s="338"/>
      <c r="G26" s="843" t="str">
        <f>IF('Edge order'!B26="","",'Edge order'!B26)</f>
        <v/>
      </c>
      <c r="H26" s="845"/>
      <c r="I26" s="371" t="str">
        <f>IF('Edge order'!H26="","",'Edge order'!H26)</f>
        <v/>
      </c>
      <c r="J26" s="370" t="str">
        <f>IF('Edge order'!I26="","",'Edge order'!I26)</f>
        <v/>
      </c>
      <c r="K26" s="80"/>
      <c r="L26" s="365"/>
      <c r="M26" s="335" t="s">
        <v>781</v>
      </c>
      <c r="N26" s="434" t="str">
        <f>IF('Doors order'!B26="","",'Doors order'!B26)</f>
        <v/>
      </c>
      <c r="O26" s="435" t="str">
        <f>IF('Doors order'!C26="","",'Doors order'!C26)</f>
        <v/>
      </c>
      <c r="P26" s="435" t="str">
        <f>IF('Doors order'!D26="","",'Doors order'!D26)</f>
        <v/>
      </c>
      <c r="Q26" s="339" t="str">
        <f>IF('Doors order'!E26="","",'Doors order'!E26)</f>
        <v/>
      </c>
      <c r="R26" s="339" t="str">
        <f>IF('Doors order'!F26="","",'Doors order'!F26)</f>
        <v/>
      </c>
      <c r="S26" s="339" t="str">
        <f>IF('Doors order'!G26="","",'Doors order'!G26)</f>
        <v/>
      </c>
      <c r="T26" s="339" t="str">
        <f>IF('Doors order'!H26="","",'Doors order'!H26)</f>
        <v/>
      </c>
      <c r="U26" s="339" t="str">
        <f>IF('Doors order'!I26="","",'Doors order'!I26)</f>
        <v/>
      </c>
      <c r="V26" s="339" t="str">
        <f>IF('Doors order'!J26="","",'Doors order'!J26)</f>
        <v/>
      </c>
      <c r="W26" s="80"/>
      <c r="X26" s="365"/>
      <c r="Y26" s="335" t="s">
        <v>751</v>
      </c>
      <c r="Z26" s="434" t="str">
        <f>IF('Cava Doors order'!B26="","",'Cava Doors order'!B26)</f>
        <v/>
      </c>
      <c r="AA26" s="440" t="str">
        <f>IF('Cava Doors order'!C26="","",'Cava Doors order'!C26)</f>
        <v/>
      </c>
      <c r="AB26" s="440" t="str">
        <f>IF('Cava Doors order'!D26="","",'Cava Doors order'!D26)</f>
        <v/>
      </c>
      <c r="AC26" s="441" t="str">
        <f>IF('Cava Doors order'!E26="","",'Cava Doors order'!E26)</f>
        <v/>
      </c>
      <c r="AD26" s="441" t="str">
        <f>IF('Cava Doors order'!F26="","",'Cava Doors order'!F26)</f>
        <v/>
      </c>
      <c r="AE26" s="435" t="str">
        <f t="shared" si="1"/>
        <v/>
      </c>
      <c r="AF26" s="458" t="str">
        <f t="shared" si="2"/>
        <v/>
      </c>
      <c r="AG26" s="435" t="str">
        <f t="shared" si="3"/>
        <v/>
      </c>
      <c r="AH26" s="458" t="str">
        <f t="shared" si="4"/>
        <v/>
      </c>
      <c r="AI26" s="435" t="str">
        <f t="shared" si="5"/>
        <v/>
      </c>
      <c r="AJ26" s="435" t="str">
        <f t="shared" si="0"/>
        <v/>
      </c>
      <c r="AK26" s="458" t="str">
        <f t="shared" si="6"/>
        <v/>
      </c>
      <c r="AL26" s="80"/>
    </row>
    <row r="27" spans="1:38" ht="21.75" customHeight="1" x14ac:dyDescent="0.25">
      <c r="A27" s="336" t="str">
        <f>IF('Panel order'!A27="","",'Panel order'!A27)</f>
        <v/>
      </c>
      <c r="B27" s="843" t="str">
        <f>IF('Panel order'!B27:G27="","",'Panel order'!B27:G27)</f>
        <v/>
      </c>
      <c r="C27" s="844"/>
      <c r="D27" s="845"/>
      <c r="E27" s="337" t="str">
        <f>IF('Panel order'!H27="","",'Panel order'!H27)</f>
        <v/>
      </c>
      <c r="F27" s="338"/>
      <c r="G27" s="843" t="str">
        <f>IF('Edge order'!B27="","",'Edge order'!B27)</f>
        <v/>
      </c>
      <c r="H27" s="845"/>
      <c r="I27" s="371" t="str">
        <f>IF('Edge order'!H27="","",'Edge order'!H27)</f>
        <v/>
      </c>
      <c r="J27" s="370" t="str">
        <f>IF('Edge order'!I27="","",'Edge order'!I27)</f>
        <v/>
      </c>
      <c r="K27" s="80"/>
      <c r="L27" s="365"/>
      <c r="M27" s="335" t="s">
        <v>782</v>
      </c>
      <c r="N27" s="434" t="str">
        <f>IF('Doors order'!B27="","",'Doors order'!B27)</f>
        <v/>
      </c>
      <c r="O27" s="435" t="str">
        <f>IF('Doors order'!C27="","",'Doors order'!C27)</f>
        <v/>
      </c>
      <c r="P27" s="435" t="str">
        <f>IF('Doors order'!D27="","",'Doors order'!D27)</f>
        <v/>
      </c>
      <c r="Q27" s="339" t="str">
        <f>IF('Doors order'!E27="","",'Doors order'!E27)</f>
        <v/>
      </c>
      <c r="R27" s="339" t="str">
        <f>IF('Doors order'!F27="","",'Doors order'!F27)</f>
        <v/>
      </c>
      <c r="S27" s="339" t="str">
        <f>IF('Doors order'!G27="","",'Doors order'!G27)</f>
        <v/>
      </c>
      <c r="T27" s="339" t="str">
        <f>IF('Doors order'!H27="","",'Doors order'!H27)</f>
        <v/>
      </c>
      <c r="U27" s="339" t="str">
        <f>IF('Doors order'!I27="","",'Doors order'!I27)</f>
        <v/>
      </c>
      <c r="V27" s="339" t="str">
        <f>IF('Doors order'!J27="","",'Doors order'!J27)</f>
        <v/>
      </c>
      <c r="W27" s="80"/>
      <c r="X27" s="365"/>
      <c r="Y27" s="335" t="s">
        <v>752</v>
      </c>
      <c r="Z27" s="434" t="str">
        <f>IF('Cava Doors order'!B27="","",'Cava Doors order'!B27)</f>
        <v/>
      </c>
      <c r="AA27" s="440" t="str">
        <f>IF('Cava Doors order'!C27="","",'Cava Doors order'!C27)</f>
        <v/>
      </c>
      <c r="AB27" s="440" t="str">
        <f>IF('Cava Doors order'!D27="","",'Cava Doors order'!D27)</f>
        <v/>
      </c>
      <c r="AC27" s="441" t="str">
        <f>IF('Cava Doors order'!E27="","",'Cava Doors order'!E27)</f>
        <v/>
      </c>
      <c r="AD27" s="441" t="str">
        <f>IF('Cava Doors order'!F27="","",'Cava Doors order'!F27)</f>
        <v/>
      </c>
      <c r="AE27" s="435" t="str">
        <f t="shared" si="1"/>
        <v/>
      </c>
      <c r="AF27" s="458" t="str">
        <f t="shared" si="2"/>
        <v/>
      </c>
      <c r="AG27" s="435" t="str">
        <f t="shared" si="3"/>
        <v/>
      </c>
      <c r="AH27" s="458" t="str">
        <f t="shared" si="4"/>
        <v/>
      </c>
      <c r="AI27" s="435" t="str">
        <f t="shared" si="5"/>
        <v/>
      </c>
      <c r="AJ27" s="435" t="str">
        <f t="shared" si="0"/>
        <v/>
      </c>
      <c r="AK27" s="458" t="str">
        <f t="shared" si="6"/>
        <v/>
      </c>
      <c r="AL27" s="80"/>
    </row>
    <row r="28" spans="1:38" ht="21.75" customHeight="1" x14ac:dyDescent="0.25">
      <c r="A28" s="336" t="str">
        <f>IF('Panel order'!A28="","",'Panel order'!A28)</f>
        <v/>
      </c>
      <c r="B28" s="843" t="str">
        <f>IF('Panel order'!B28:G28="","",'Panel order'!B28:G28)</f>
        <v/>
      </c>
      <c r="C28" s="844"/>
      <c r="D28" s="845"/>
      <c r="E28" s="337" t="str">
        <f>IF('Panel order'!H28="","",'Panel order'!H28)</f>
        <v/>
      </c>
      <c r="F28" s="338"/>
      <c r="G28" s="843" t="str">
        <f>IF('Edge order'!B28="","",'Edge order'!B28)</f>
        <v/>
      </c>
      <c r="H28" s="845"/>
      <c r="I28" s="371" t="str">
        <f>IF('Edge order'!H28="","",'Edge order'!H28)</f>
        <v/>
      </c>
      <c r="J28" s="370" t="str">
        <f>IF('Edge order'!I28="","",'Edge order'!I28)</f>
        <v/>
      </c>
      <c r="K28" s="80"/>
      <c r="L28" s="365"/>
      <c r="M28" s="335" t="s">
        <v>783</v>
      </c>
      <c r="N28" s="434" t="str">
        <f>IF('Doors order'!B28="","",'Doors order'!B28)</f>
        <v/>
      </c>
      <c r="O28" s="435" t="str">
        <f>IF('Doors order'!C28="","",'Doors order'!C28)</f>
        <v/>
      </c>
      <c r="P28" s="435" t="str">
        <f>IF('Doors order'!D28="","",'Doors order'!D28)</f>
        <v/>
      </c>
      <c r="Q28" s="339" t="str">
        <f>IF('Doors order'!E28="","",'Doors order'!E28)</f>
        <v/>
      </c>
      <c r="R28" s="339" t="str">
        <f>IF('Doors order'!F28="","",'Doors order'!F28)</f>
        <v/>
      </c>
      <c r="S28" s="339" t="str">
        <f>IF('Doors order'!G28="","",'Doors order'!G28)</f>
        <v/>
      </c>
      <c r="T28" s="339" t="str">
        <f>IF('Doors order'!H28="","",'Doors order'!H28)</f>
        <v/>
      </c>
      <c r="U28" s="339" t="str">
        <f>IF('Doors order'!I28="","",'Doors order'!I28)</f>
        <v/>
      </c>
      <c r="V28" s="339" t="str">
        <f>IF('Doors order'!J28="","",'Doors order'!J28)</f>
        <v/>
      </c>
      <c r="W28" s="80"/>
      <c r="X28" s="365"/>
      <c r="Y28" s="335" t="s">
        <v>753</v>
      </c>
      <c r="Z28" s="434" t="str">
        <f>IF('Cava Doors order'!B28="","",'Cava Doors order'!B28)</f>
        <v/>
      </c>
      <c r="AA28" s="440" t="str">
        <f>IF('Cava Doors order'!C28="","",'Cava Doors order'!C28)</f>
        <v/>
      </c>
      <c r="AB28" s="440" t="str">
        <f>IF('Cava Doors order'!D28="","",'Cava Doors order'!D28)</f>
        <v/>
      </c>
      <c r="AC28" s="441" t="str">
        <f>IF('Cava Doors order'!E28="","",'Cava Doors order'!E28)</f>
        <v/>
      </c>
      <c r="AD28" s="441" t="str">
        <f>IF('Cava Doors order'!F28="","",'Cava Doors order'!F28)</f>
        <v/>
      </c>
      <c r="AE28" s="435" t="str">
        <f t="shared" si="1"/>
        <v/>
      </c>
      <c r="AF28" s="458" t="str">
        <f t="shared" si="2"/>
        <v/>
      </c>
      <c r="AG28" s="435" t="str">
        <f t="shared" si="3"/>
        <v/>
      </c>
      <c r="AH28" s="458" t="str">
        <f t="shared" si="4"/>
        <v/>
      </c>
      <c r="AI28" s="435" t="str">
        <f t="shared" si="5"/>
        <v/>
      </c>
      <c r="AJ28" s="435" t="str">
        <f t="shared" si="0"/>
        <v/>
      </c>
      <c r="AK28" s="458" t="str">
        <f t="shared" si="6"/>
        <v/>
      </c>
      <c r="AL28" s="80"/>
    </row>
    <row r="29" spans="1:38" ht="21.75" customHeight="1" x14ac:dyDescent="0.25">
      <c r="A29" s="336" t="str">
        <f>IF('Panel order'!A29="","",'Panel order'!A29)</f>
        <v/>
      </c>
      <c r="B29" s="843" t="str">
        <f>IF('Panel order'!B29:G29="","",'Panel order'!B29:G29)</f>
        <v/>
      </c>
      <c r="C29" s="844"/>
      <c r="D29" s="845"/>
      <c r="E29" s="337" t="str">
        <f>IF('Panel order'!H29="","",'Panel order'!H29)</f>
        <v/>
      </c>
      <c r="F29" s="338"/>
      <c r="G29" s="843" t="str">
        <f>IF('Edge order'!B29="","",'Edge order'!B29)</f>
        <v/>
      </c>
      <c r="H29" s="845"/>
      <c r="I29" s="371" t="str">
        <f>IF('Edge order'!H29="","",'Edge order'!H29)</f>
        <v/>
      </c>
      <c r="J29" s="370" t="str">
        <f>IF('Edge order'!I29="","",'Edge order'!I29)</f>
        <v/>
      </c>
      <c r="K29" s="80"/>
      <c r="L29" s="365"/>
      <c r="M29" s="335" t="s">
        <v>784</v>
      </c>
      <c r="N29" s="434" t="str">
        <f>IF('Doors order'!B29="","",'Doors order'!B29)</f>
        <v/>
      </c>
      <c r="O29" s="435" t="str">
        <f>IF('Doors order'!C29="","",'Doors order'!C29)</f>
        <v/>
      </c>
      <c r="P29" s="435" t="str">
        <f>IF('Doors order'!D29="","",'Doors order'!D29)</f>
        <v/>
      </c>
      <c r="Q29" s="339" t="str">
        <f>IF('Doors order'!E29="","",'Doors order'!E29)</f>
        <v/>
      </c>
      <c r="R29" s="339" t="str">
        <f>IF('Doors order'!F29="","",'Doors order'!F29)</f>
        <v/>
      </c>
      <c r="S29" s="339" t="str">
        <f>IF('Doors order'!G29="","",'Doors order'!G29)</f>
        <v/>
      </c>
      <c r="T29" s="339" t="str">
        <f>IF('Doors order'!H29="","",'Doors order'!H29)</f>
        <v/>
      </c>
      <c r="U29" s="339" t="str">
        <f>IF('Doors order'!I29="","",'Doors order'!I29)</f>
        <v/>
      </c>
      <c r="V29" s="339" t="str">
        <f>IF('Doors order'!J29="","",'Doors order'!J29)</f>
        <v/>
      </c>
      <c r="W29" s="80"/>
      <c r="X29" s="365"/>
      <c r="Y29" s="335" t="s">
        <v>754</v>
      </c>
      <c r="Z29" s="434" t="str">
        <f>IF('Cava Doors order'!B29="","",'Cava Doors order'!B29)</f>
        <v/>
      </c>
      <c r="AA29" s="440" t="str">
        <f>IF('Cava Doors order'!C29="","",'Cava Doors order'!C29)</f>
        <v/>
      </c>
      <c r="AB29" s="440" t="str">
        <f>IF('Cava Doors order'!D29="","",'Cava Doors order'!D29)</f>
        <v/>
      </c>
      <c r="AC29" s="441" t="str">
        <f>IF('Cava Doors order'!E29="","",'Cava Doors order'!E29)</f>
        <v/>
      </c>
      <c r="AD29" s="441" t="str">
        <f>IF('Cava Doors order'!F29="","",'Cava Doors order'!F29)</f>
        <v/>
      </c>
      <c r="AE29" s="435" t="str">
        <f t="shared" si="1"/>
        <v/>
      </c>
      <c r="AF29" s="458" t="str">
        <f t="shared" si="2"/>
        <v/>
      </c>
      <c r="AG29" s="435" t="str">
        <f t="shared" si="3"/>
        <v/>
      </c>
      <c r="AH29" s="458" t="str">
        <f t="shared" si="4"/>
        <v/>
      </c>
      <c r="AI29" s="435" t="str">
        <f t="shared" si="5"/>
        <v/>
      </c>
      <c r="AJ29" s="435" t="str">
        <f t="shared" si="0"/>
        <v/>
      </c>
      <c r="AK29" s="458" t="str">
        <f t="shared" si="6"/>
        <v/>
      </c>
      <c r="AL29" s="80"/>
    </row>
    <row r="30" spans="1:38" ht="21.75" customHeight="1" x14ac:dyDescent="0.25">
      <c r="A30" s="336" t="str">
        <f>IF('Panel order'!A30="","",'Panel order'!A30)</f>
        <v/>
      </c>
      <c r="B30" s="843" t="str">
        <f>IF('Panel order'!B30:G30="","",'Panel order'!B30:G30)</f>
        <v/>
      </c>
      <c r="C30" s="844"/>
      <c r="D30" s="845"/>
      <c r="E30" s="337" t="str">
        <f>IF('Panel order'!H30="","",'Panel order'!H30)</f>
        <v/>
      </c>
      <c r="F30" s="338"/>
      <c r="G30" s="843" t="str">
        <f>IF('Edge order'!B30="","",'Edge order'!B30)</f>
        <v/>
      </c>
      <c r="H30" s="845"/>
      <c r="I30" s="371" t="str">
        <f>IF('Edge order'!H30="","",'Edge order'!H30)</f>
        <v/>
      </c>
      <c r="J30" s="370" t="str">
        <f>IF('Edge order'!I30="","",'Edge order'!I30)</f>
        <v/>
      </c>
      <c r="K30" s="80"/>
      <c r="L30" s="365"/>
      <c r="M30" s="335" t="s">
        <v>785</v>
      </c>
      <c r="N30" s="434" t="str">
        <f>IF('Doors order'!B30="","",'Doors order'!B30)</f>
        <v/>
      </c>
      <c r="O30" s="435" t="str">
        <f>IF('Doors order'!C30="","",'Doors order'!C30)</f>
        <v/>
      </c>
      <c r="P30" s="435" t="str">
        <f>IF('Doors order'!D30="","",'Doors order'!D30)</f>
        <v/>
      </c>
      <c r="Q30" s="339" t="str">
        <f>IF('Doors order'!E30="","",'Doors order'!E30)</f>
        <v/>
      </c>
      <c r="R30" s="339" t="str">
        <f>IF('Doors order'!F30="","",'Doors order'!F30)</f>
        <v/>
      </c>
      <c r="S30" s="339" t="str">
        <f>IF('Doors order'!G30="","",'Doors order'!G30)</f>
        <v/>
      </c>
      <c r="T30" s="339" t="str">
        <f>IF('Doors order'!H30="","",'Doors order'!H30)</f>
        <v/>
      </c>
      <c r="U30" s="339" t="str">
        <f>IF('Doors order'!I30="","",'Doors order'!I30)</f>
        <v/>
      </c>
      <c r="V30" s="339" t="str">
        <f>IF('Doors order'!J30="","",'Doors order'!J30)</f>
        <v/>
      </c>
      <c r="W30" s="80"/>
      <c r="X30" s="365"/>
      <c r="Y30" s="335" t="s">
        <v>755</v>
      </c>
      <c r="Z30" s="434" t="str">
        <f>IF('Cava Doors order'!B30="","",'Cava Doors order'!B30)</f>
        <v/>
      </c>
      <c r="AA30" s="440" t="str">
        <f>IF('Cava Doors order'!C30="","",'Cava Doors order'!C30)</f>
        <v/>
      </c>
      <c r="AB30" s="440" t="str">
        <f>IF('Cava Doors order'!D30="","",'Cava Doors order'!D30)</f>
        <v/>
      </c>
      <c r="AC30" s="441" t="str">
        <f>IF('Cava Doors order'!E30="","",'Cava Doors order'!E30)</f>
        <v/>
      </c>
      <c r="AD30" s="441" t="str">
        <f>IF('Cava Doors order'!F30="","",'Cava Doors order'!F30)</f>
        <v/>
      </c>
      <c r="AE30" s="435" t="str">
        <f t="shared" si="1"/>
        <v/>
      </c>
      <c r="AF30" s="458" t="str">
        <f t="shared" si="2"/>
        <v/>
      </c>
      <c r="AG30" s="435" t="str">
        <f t="shared" si="3"/>
        <v/>
      </c>
      <c r="AH30" s="458" t="str">
        <f t="shared" si="4"/>
        <v/>
      </c>
      <c r="AI30" s="435" t="str">
        <f t="shared" si="5"/>
        <v/>
      </c>
      <c r="AJ30" s="435" t="str">
        <f t="shared" si="0"/>
        <v/>
      </c>
      <c r="AK30" s="458" t="str">
        <f t="shared" si="6"/>
        <v/>
      </c>
      <c r="AL30" s="80"/>
    </row>
    <row r="31" spans="1:38" ht="21.75" customHeight="1" x14ac:dyDescent="0.25">
      <c r="A31" s="336" t="str">
        <f>IF('Panel order'!A31="","",'Panel order'!A31)</f>
        <v/>
      </c>
      <c r="B31" s="843" t="str">
        <f>IF('Panel order'!B31:G31="","",'Panel order'!B31:G31)</f>
        <v/>
      </c>
      <c r="C31" s="844"/>
      <c r="D31" s="845"/>
      <c r="E31" s="337" t="str">
        <f>IF('Panel order'!H31="","",'Panel order'!H31)</f>
        <v/>
      </c>
      <c r="F31" s="338"/>
      <c r="G31" s="843" t="str">
        <f>IF('Edge order'!B31="","",'Edge order'!B31)</f>
        <v/>
      </c>
      <c r="H31" s="845"/>
      <c r="I31" s="371" t="str">
        <f>IF('Edge order'!H31="","",'Edge order'!H31)</f>
        <v/>
      </c>
      <c r="J31" s="370" t="str">
        <f>IF('Edge order'!I31="","",'Edge order'!I31)</f>
        <v/>
      </c>
      <c r="K31" s="80"/>
      <c r="L31" s="365"/>
      <c r="M31" s="335" t="s">
        <v>786</v>
      </c>
      <c r="N31" s="434" t="str">
        <f>IF('Doors order'!B31="","",'Doors order'!B31)</f>
        <v/>
      </c>
      <c r="O31" s="435" t="str">
        <f>IF('Doors order'!C31="","",'Doors order'!C31)</f>
        <v/>
      </c>
      <c r="P31" s="435" t="str">
        <f>IF('Doors order'!D31="","",'Doors order'!D31)</f>
        <v/>
      </c>
      <c r="Q31" s="339" t="str">
        <f>IF('Doors order'!E31="","",'Doors order'!E31)</f>
        <v/>
      </c>
      <c r="R31" s="339" t="str">
        <f>IF('Doors order'!F31="","",'Doors order'!F31)</f>
        <v/>
      </c>
      <c r="S31" s="339" t="str">
        <f>IF('Doors order'!G31="","",'Doors order'!G31)</f>
        <v/>
      </c>
      <c r="T31" s="339" t="str">
        <f>IF('Doors order'!H31="","",'Doors order'!H31)</f>
        <v/>
      </c>
      <c r="U31" s="339" t="str">
        <f>IF('Doors order'!I31="","",'Doors order'!I31)</f>
        <v/>
      </c>
      <c r="V31" s="339" t="str">
        <f>IF('Doors order'!J31="","",'Doors order'!J31)</f>
        <v/>
      </c>
      <c r="W31" s="80"/>
      <c r="X31" s="365"/>
      <c r="Y31" s="335" t="s">
        <v>756</v>
      </c>
      <c r="Z31" s="434" t="str">
        <f>IF('Cava Doors order'!B31="","",'Cava Doors order'!B31)</f>
        <v/>
      </c>
      <c r="AA31" s="440" t="str">
        <f>IF('Cava Doors order'!C31="","",'Cava Doors order'!C31)</f>
        <v/>
      </c>
      <c r="AB31" s="440" t="str">
        <f>IF('Cava Doors order'!D31="","",'Cava Doors order'!D31)</f>
        <v/>
      </c>
      <c r="AC31" s="441" t="str">
        <f>IF('Cava Doors order'!E31="","",'Cava Doors order'!E31)</f>
        <v/>
      </c>
      <c r="AD31" s="441" t="str">
        <f>IF('Cava Doors order'!F31="","",'Cava Doors order'!F31)</f>
        <v/>
      </c>
      <c r="AE31" s="435" t="str">
        <f t="shared" si="1"/>
        <v/>
      </c>
      <c r="AF31" s="458" t="str">
        <f t="shared" si="2"/>
        <v/>
      </c>
      <c r="AG31" s="435" t="str">
        <f t="shared" si="3"/>
        <v/>
      </c>
      <c r="AH31" s="458" t="str">
        <f t="shared" si="4"/>
        <v/>
      </c>
      <c r="AI31" s="435" t="str">
        <f t="shared" si="5"/>
        <v/>
      </c>
      <c r="AJ31" s="435" t="str">
        <f t="shared" si="0"/>
        <v/>
      </c>
      <c r="AK31" s="458" t="str">
        <f t="shared" si="6"/>
        <v/>
      </c>
      <c r="AL31" s="80"/>
    </row>
    <row r="32" spans="1:38" ht="21.75" customHeight="1" x14ac:dyDescent="0.25">
      <c r="A32" s="336" t="str">
        <f>IF('Panel order'!A32="","",'Panel order'!A32)</f>
        <v/>
      </c>
      <c r="B32" s="843" t="str">
        <f>IF('Panel order'!B32:G32="","",'Panel order'!B32:G32)</f>
        <v/>
      </c>
      <c r="C32" s="844"/>
      <c r="D32" s="845"/>
      <c r="E32" s="337" t="str">
        <f>IF('Panel order'!H32="","",'Panel order'!H32)</f>
        <v/>
      </c>
      <c r="F32" s="338"/>
      <c r="G32" s="843" t="str">
        <f>IF('Edge order'!B32="","",'Edge order'!B32)</f>
        <v/>
      </c>
      <c r="H32" s="845"/>
      <c r="I32" s="371" t="str">
        <f>IF('Edge order'!H32="","",'Edge order'!H32)</f>
        <v/>
      </c>
      <c r="J32" s="370" t="str">
        <f>IF('Edge order'!I32="","",'Edge order'!I32)</f>
        <v/>
      </c>
      <c r="K32" s="80"/>
      <c r="L32" s="365"/>
      <c r="M32" s="335" t="s">
        <v>787</v>
      </c>
      <c r="N32" s="434" t="str">
        <f>IF('Doors order'!B32="","",'Doors order'!B32)</f>
        <v/>
      </c>
      <c r="O32" s="435" t="str">
        <f>IF('Doors order'!C32="","",'Doors order'!C32)</f>
        <v/>
      </c>
      <c r="P32" s="435" t="str">
        <f>IF('Doors order'!D32="","",'Doors order'!D32)</f>
        <v/>
      </c>
      <c r="Q32" s="339" t="str">
        <f>IF('Doors order'!E32="","",'Doors order'!E32)</f>
        <v/>
      </c>
      <c r="R32" s="339" t="str">
        <f>IF('Doors order'!F32="","",'Doors order'!F32)</f>
        <v/>
      </c>
      <c r="S32" s="339" t="str">
        <f>IF('Doors order'!G32="","",'Doors order'!G32)</f>
        <v/>
      </c>
      <c r="T32" s="339" t="str">
        <f>IF('Doors order'!H32="","",'Doors order'!H32)</f>
        <v/>
      </c>
      <c r="U32" s="339" t="str">
        <f>IF('Doors order'!I32="","",'Doors order'!I32)</f>
        <v/>
      </c>
      <c r="V32" s="339" t="str">
        <f>IF('Doors order'!J32="","",'Doors order'!J32)</f>
        <v/>
      </c>
      <c r="W32" s="80"/>
      <c r="X32" s="365"/>
      <c r="Y32" s="335" t="s">
        <v>757</v>
      </c>
      <c r="Z32" s="434" t="str">
        <f>IF('Cava Doors order'!B32="","",'Cava Doors order'!B32)</f>
        <v/>
      </c>
      <c r="AA32" s="440" t="str">
        <f>IF('Cava Doors order'!C32="","",'Cava Doors order'!C32)</f>
        <v/>
      </c>
      <c r="AB32" s="440" t="str">
        <f>IF('Cava Doors order'!D32="","",'Cava Doors order'!D32)</f>
        <v/>
      </c>
      <c r="AC32" s="441" t="str">
        <f>IF('Cava Doors order'!E32="","",'Cava Doors order'!E32)</f>
        <v/>
      </c>
      <c r="AD32" s="441" t="str">
        <f>IF('Cava Doors order'!F32="","",'Cava Doors order'!F32)</f>
        <v/>
      </c>
      <c r="AE32" s="435" t="str">
        <f t="shared" si="1"/>
        <v/>
      </c>
      <c r="AF32" s="458" t="str">
        <f t="shared" si="2"/>
        <v/>
      </c>
      <c r="AG32" s="435" t="str">
        <f t="shared" si="3"/>
        <v/>
      </c>
      <c r="AH32" s="458" t="str">
        <f t="shared" si="4"/>
        <v/>
      </c>
      <c r="AI32" s="435" t="str">
        <f t="shared" si="5"/>
        <v/>
      </c>
      <c r="AJ32" s="435" t="str">
        <f t="shared" si="0"/>
        <v/>
      </c>
      <c r="AK32" s="458" t="str">
        <f t="shared" si="6"/>
        <v/>
      </c>
      <c r="AL32" s="80"/>
    </row>
    <row r="33" spans="1:38" ht="21.75" customHeight="1" x14ac:dyDescent="0.25">
      <c r="A33" s="336" t="str">
        <f>IF('Panel order'!A33="","",'Panel order'!A33)</f>
        <v/>
      </c>
      <c r="B33" s="843" t="str">
        <f>IF('Panel order'!B33:G33="","",'Panel order'!B33:G33)</f>
        <v/>
      </c>
      <c r="C33" s="844"/>
      <c r="D33" s="845"/>
      <c r="E33" s="337" t="str">
        <f>IF('Panel order'!H33="","",'Panel order'!H33)</f>
        <v/>
      </c>
      <c r="F33" s="338"/>
      <c r="G33" s="843" t="str">
        <f>IF('Edge order'!B33="","",'Edge order'!B33)</f>
        <v/>
      </c>
      <c r="H33" s="845"/>
      <c r="I33" s="371" t="str">
        <f>IF('Edge order'!H33="","",'Edge order'!H33)</f>
        <v/>
      </c>
      <c r="J33" s="370" t="str">
        <f>IF('Edge order'!I33="","",'Edge order'!I33)</f>
        <v/>
      </c>
      <c r="K33" s="80"/>
      <c r="L33" s="365"/>
      <c r="M33" s="335" t="s">
        <v>788</v>
      </c>
      <c r="N33" s="434" t="str">
        <f>IF('Doors order'!B33="","",'Doors order'!B33)</f>
        <v/>
      </c>
      <c r="O33" s="435" t="str">
        <f>IF('Doors order'!C33="","",'Doors order'!C33)</f>
        <v/>
      </c>
      <c r="P33" s="435" t="str">
        <f>IF('Doors order'!D33="","",'Doors order'!D33)</f>
        <v/>
      </c>
      <c r="Q33" s="339" t="str">
        <f>IF('Doors order'!E33="","",'Doors order'!E33)</f>
        <v/>
      </c>
      <c r="R33" s="339" t="str">
        <f>IF('Doors order'!F33="","",'Doors order'!F33)</f>
        <v/>
      </c>
      <c r="S33" s="339" t="str">
        <f>IF('Doors order'!G33="","",'Doors order'!G33)</f>
        <v/>
      </c>
      <c r="T33" s="339" t="str">
        <f>IF('Doors order'!H33="","",'Doors order'!H33)</f>
        <v/>
      </c>
      <c r="U33" s="339" t="str">
        <f>IF('Doors order'!I33="","",'Doors order'!I33)</f>
        <v/>
      </c>
      <c r="V33" s="339" t="str">
        <f>IF('Doors order'!J33="","",'Doors order'!J33)</f>
        <v/>
      </c>
      <c r="W33" s="80"/>
      <c r="X33" s="365"/>
      <c r="Y33" s="335" t="s">
        <v>758</v>
      </c>
      <c r="Z33" s="434" t="str">
        <f>IF('Cava Doors order'!B33="","",'Cava Doors order'!B33)</f>
        <v/>
      </c>
      <c r="AA33" s="440" t="str">
        <f>IF('Cava Doors order'!C33="","",'Cava Doors order'!C33)</f>
        <v/>
      </c>
      <c r="AB33" s="440" t="str">
        <f>IF('Cava Doors order'!D33="","",'Cava Doors order'!D33)</f>
        <v/>
      </c>
      <c r="AC33" s="441" t="str">
        <f>IF('Cava Doors order'!E33="","",'Cava Doors order'!E33)</f>
        <v/>
      </c>
      <c r="AD33" s="441" t="str">
        <f>IF('Cava Doors order'!F33="","",'Cava Doors order'!F33)</f>
        <v/>
      </c>
      <c r="AE33" s="435" t="str">
        <f t="shared" si="1"/>
        <v/>
      </c>
      <c r="AF33" s="458" t="str">
        <f t="shared" si="2"/>
        <v/>
      </c>
      <c r="AG33" s="435" t="str">
        <f t="shared" si="3"/>
        <v/>
      </c>
      <c r="AH33" s="458" t="str">
        <f t="shared" si="4"/>
        <v/>
      </c>
      <c r="AI33" s="435" t="str">
        <f t="shared" si="5"/>
        <v/>
      </c>
      <c r="AJ33" s="435" t="str">
        <f t="shared" si="0"/>
        <v/>
      </c>
      <c r="AK33" s="458" t="str">
        <f t="shared" si="6"/>
        <v/>
      </c>
      <c r="AL33" s="80"/>
    </row>
    <row r="34" spans="1:38" ht="21.75" customHeight="1" x14ac:dyDescent="0.25">
      <c r="A34" s="336" t="str">
        <f>IF('Panel order'!A34="","",'Panel order'!A34)</f>
        <v/>
      </c>
      <c r="B34" s="843" t="str">
        <f>IF('Panel order'!B34:G34="","",'Panel order'!B34:G34)</f>
        <v/>
      </c>
      <c r="C34" s="844"/>
      <c r="D34" s="845"/>
      <c r="E34" s="337" t="str">
        <f>IF('Panel order'!H34="","",'Panel order'!H34)</f>
        <v/>
      </c>
      <c r="F34" s="338"/>
      <c r="G34" s="843" t="str">
        <f>IF('Edge order'!B34="","",'Edge order'!B34)</f>
        <v/>
      </c>
      <c r="H34" s="845"/>
      <c r="I34" s="371" t="str">
        <f>IF('Edge order'!H34="","",'Edge order'!H34)</f>
        <v/>
      </c>
      <c r="J34" s="370" t="str">
        <f>IF('Edge order'!I34="","",'Edge order'!I34)</f>
        <v/>
      </c>
      <c r="K34" s="80"/>
      <c r="L34" s="365"/>
      <c r="M34" s="335" t="s">
        <v>789</v>
      </c>
      <c r="N34" s="434" t="str">
        <f>IF('Doors order'!B34="","",'Doors order'!B34)</f>
        <v/>
      </c>
      <c r="O34" s="435" t="str">
        <f>IF('Doors order'!C34="","",'Doors order'!C34)</f>
        <v/>
      </c>
      <c r="P34" s="435" t="str">
        <f>IF('Doors order'!D34="","",'Doors order'!D34)</f>
        <v/>
      </c>
      <c r="Q34" s="339" t="str">
        <f>IF('Doors order'!E34="","",'Doors order'!E34)</f>
        <v/>
      </c>
      <c r="R34" s="339" t="str">
        <f>IF('Doors order'!F34="","",'Doors order'!F34)</f>
        <v/>
      </c>
      <c r="S34" s="339" t="str">
        <f>IF('Doors order'!G34="","",'Doors order'!G34)</f>
        <v/>
      </c>
      <c r="T34" s="339" t="str">
        <f>IF('Doors order'!H34="","",'Doors order'!H34)</f>
        <v/>
      </c>
      <c r="U34" s="339" t="str">
        <f>IF('Doors order'!I34="","",'Doors order'!I34)</f>
        <v/>
      </c>
      <c r="V34" s="339" t="str">
        <f>IF('Doors order'!J34="","",'Doors order'!J34)</f>
        <v/>
      </c>
      <c r="W34" s="80"/>
      <c r="X34" s="365"/>
      <c r="Y34" s="335" t="s">
        <v>759</v>
      </c>
      <c r="Z34" s="434" t="str">
        <f>IF('Cava Doors order'!B34="","",'Cava Doors order'!B34)</f>
        <v/>
      </c>
      <c r="AA34" s="440" t="str">
        <f>IF('Cava Doors order'!C34="","",'Cava Doors order'!C34)</f>
        <v/>
      </c>
      <c r="AB34" s="440" t="str">
        <f>IF('Cava Doors order'!D34="","",'Cava Doors order'!D34)</f>
        <v/>
      </c>
      <c r="AC34" s="441" t="str">
        <f>IF('Cava Doors order'!E34="","",'Cava Doors order'!E34)</f>
        <v/>
      </c>
      <c r="AD34" s="441" t="str">
        <f>IF('Cava Doors order'!F34="","",'Cava Doors order'!F34)</f>
        <v/>
      </c>
      <c r="AE34" s="435" t="str">
        <f t="shared" si="1"/>
        <v/>
      </c>
      <c r="AF34" s="458" t="str">
        <f t="shared" si="2"/>
        <v/>
      </c>
      <c r="AG34" s="435" t="str">
        <f t="shared" si="3"/>
        <v/>
      </c>
      <c r="AH34" s="458" t="str">
        <f t="shared" si="4"/>
        <v/>
      </c>
      <c r="AI34" s="435" t="str">
        <f t="shared" si="5"/>
        <v/>
      </c>
      <c r="AJ34" s="435" t="str">
        <f t="shared" si="0"/>
        <v/>
      </c>
      <c r="AK34" s="458" t="str">
        <f t="shared" si="6"/>
        <v/>
      </c>
      <c r="AL34" s="80"/>
    </row>
    <row r="35" spans="1:38" ht="21.75" customHeight="1" x14ac:dyDescent="0.25">
      <c r="A35" s="336" t="str">
        <f>IF('Panel order'!A35="","",'Panel order'!A35)</f>
        <v/>
      </c>
      <c r="B35" s="843" t="str">
        <f>IF('Panel order'!B35:G35="","",'Panel order'!B35:G35)</f>
        <v/>
      </c>
      <c r="C35" s="844"/>
      <c r="D35" s="845"/>
      <c r="E35" s="337" t="str">
        <f>IF('Panel order'!H35="","",'Panel order'!H35)</f>
        <v/>
      </c>
      <c r="F35" s="338"/>
      <c r="G35" s="843" t="str">
        <f>IF('Edge order'!B35="","",'Edge order'!B35)</f>
        <v/>
      </c>
      <c r="H35" s="845"/>
      <c r="I35" s="371" t="str">
        <f>IF('Edge order'!H35="","",'Edge order'!H35)</f>
        <v/>
      </c>
      <c r="J35" s="370" t="str">
        <f>IF('Edge order'!I35="","",'Edge order'!I35)</f>
        <v/>
      </c>
      <c r="K35" s="80"/>
      <c r="L35" s="365"/>
      <c r="M35" s="335" t="s">
        <v>790</v>
      </c>
      <c r="N35" s="434" t="str">
        <f>IF('Doors order'!B35="","",'Doors order'!B35)</f>
        <v/>
      </c>
      <c r="O35" s="435" t="str">
        <f>IF('Doors order'!C35="","",'Doors order'!C35)</f>
        <v/>
      </c>
      <c r="P35" s="435" t="str">
        <f>IF('Doors order'!D35="","",'Doors order'!D35)</f>
        <v/>
      </c>
      <c r="Q35" s="339" t="str">
        <f>IF('Doors order'!E35="","",'Doors order'!E35)</f>
        <v/>
      </c>
      <c r="R35" s="339" t="str">
        <f>IF('Doors order'!F35="","",'Doors order'!F35)</f>
        <v/>
      </c>
      <c r="S35" s="339" t="str">
        <f>IF('Doors order'!G35="","",'Doors order'!G35)</f>
        <v/>
      </c>
      <c r="T35" s="339" t="str">
        <f>IF('Doors order'!H35="","",'Doors order'!H35)</f>
        <v/>
      </c>
      <c r="U35" s="339" t="str">
        <f>IF('Doors order'!I35="","",'Doors order'!I35)</f>
        <v/>
      </c>
      <c r="V35" s="339" t="str">
        <f>IF('Doors order'!J35="","",'Doors order'!J35)</f>
        <v/>
      </c>
      <c r="W35" s="80"/>
      <c r="X35" s="365"/>
      <c r="Y35" s="335" t="s">
        <v>760</v>
      </c>
      <c r="Z35" s="434" t="str">
        <f>IF('Cava Doors order'!B35="","",'Cava Doors order'!B35)</f>
        <v/>
      </c>
      <c r="AA35" s="440" t="str">
        <f>IF('Cava Doors order'!C35="","",'Cava Doors order'!C35)</f>
        <v/>
      </c>
      <c r="AB35" s="440" t="str">
        <f>IF('Cava Doors order'!D35="","",'Cava Doors order'!D35)</f>
        <v/>
      </c>
      <c r="AC35" s="441" t="str">
        <f>IF('Cava Doors order'!E35="","",'Cava Doors order'!E35)</f>
        <v/>
      </c>
      <c r="AD35" s="441" t="str">
        <f>IF('Cava Doors order'!F35="","",'Cava Doors order'!F35)</f>
        <v/>
      </c>
      <c r="AE35" s="435" t="str">
        <f t="shared" si="1"/>
        <v/>
      </c>
      <c r="AF35" s="458" t="str">
        <f t="shared" si="2"/>
        <v/>
      </c>
      <c r="AG35" s="435" t="str">
        <f t="shared" si="3"/>
        <v/>
      </c>
      <c r="AH35" s="458" t="str">
        <f t="shared" si="4"/>
        <v/>
      </c>
      <c r="AI35" s="435" t="str">
        <f t="shared" si="5"/>
        <v/>
      </c>
      <c r="AJ35" s="435" t="str">
        <f t="shared" si="0"/>
        <v/>
      </c>
      <c r="AK35" s="458" t="str">
        <f t="shared" si="6"/>
        <v/>
      </c>
      <c r="AL35" s="80"/>
    </row>
    <row r="36" spans="1:38" ht="21.75" customHeight="1" x14ac:dyDescent="0.25">
      <c r="A36" s="336" t="str">
        <f>IF('Panel order'!A36="","",'Panel order'!A36)</f>
        <v/>
      </c>
      <c r="B36" s="843" t="str">
        <f>IF('Panel order'!B36:G36="","",'Panel order'!B36:G36)</f>
        <v/>
      </c>
      <c r="C36" s="844"/>
      <c r="D36" s="845"/>
      <c r="E36" s="337" t="str">
        <f>IF('Panel order'!H36="","",'Panel order'!H36)</f>
        <v/>
      </c>
      <c r="F36" s="338"/>
      <c r="G36" s="843" t="str">
        <f>IF('Edge order'!B36="","",'Edge order'!B36)</f>
        <v/>
      </c>
      <c r="H36" s="845"/>
      <c r="I36" s="371" t="str">
        <f>IF('Edge order'!H36="","",'Edge order'!H36)</f>
        <v/>
      </c>
      <c r="J36" s="370" t="str">
        <f>IF('Edge order'!I36="","",'Edge order'!I36)</f>
        <v/>
      </c>
      <c r="K36" s="80"/>
      <c r="L36" s="365"/>
      <c r="M36" s="335" t="s">
        <v>791</v>
      </c>
      <c r="N36" s="434" t="str">
        <f>IF('Doors order'!B36="","",'Doors order'!B36)</f>
        <v/>
      </c>
      <c r="O36" s="435" t="str">
        <f>IF('Doors order'!C36="","",'Doors order'!C36)</f>
        <v/>
      </c>
      <c r="P36" s="435" t="str">
        <f>IF('Doors order'!D36="","",'Doors order'!D36)</f>
        <v/>
      </c>
      <c r="Q36" s="339" t="str">
        <f>IF('Doors order'!E36="","",'Doors order'!E36)</f>
        <v/>
      </c>
      <c r="R36" s="339" t="str">
        <f>IF('Doors order'!F36="","",'Doors order'!F36)</f>
        <v/>
      </c>
      <c r="S36" s="339" t="str">
        <f>IF('Doors order'!G36="","",'Doors order'!G36)</f>
        <v/>
      </c>
      <c r="T36" s="339" t="str">
        <f>IF('Doors order'!H36="","",'Doors order'!H36)</f>
        <v/>
      </c>
      <c r="U36" s="339" t="str">
        <f>IF('Doors order'!I36="","",'Doors order'!I36)</f>
        <v/>
      </c>
      <c r="V36" s="339" t="str">
        <f>IF('Doors order'!J36="","",'Doors order'!J36)</f>
        <v/>
      </c>
      <c r="W36" s="80"/>
      <c r="X36" s="365"/>
      <c r="Y36" s="335" t="s">
        <v>761</v>
      </c>
      <c r="Z36" s="434" t="str">
        <f>IF('Cava Doors order'!B36="","",'Cava Doors order'!B36)</f>
        <v/>
      </c>
      <c r="AA36" s="440" t="str">
        <f>IF('Cava Doors order'!C36="","",'Cava Doors order'!C36)</f>
        <v/>
      </c>
      <c r="AB36" s="440" t="str">
        <f>IF('Cava Doors order'!D36="","",'Cava Doors order'!D36)</f>
        <v/>
      </c>
      <c r="AC36" s="441" t="str">
        <f>IF('Cava Doors order'!E36="","",'Cava Doors order'!E36)</f>
        <v/>
      </c>
      <c r="AD36" s="441" t="str">
        <f>IF('Cava Doors order'!F36="","",'Cava Doors order'!F36)</f>
        <v/>
      </c>
      <c r="AE36" s="435" t="str">
        <f t="shared" si="1"/>
        <v/>
      </c>
      <c r="AF36" s="458" t="str">
        <f t="shared" si="2"/>
        <v/>
      </c>
      <c r="AG36" s="435" t="str">
        <f t="shared" si="3"/>
        <v/>
      </c>
      <c r="AH36" s="458" t="str">
        <f t="shared" si="4"/>
        <v/>
      </c>
      <c r="AI36" s="435" t="str">
        <f t="shared" si="5"/>
        <v/>
      </c>
      <c r="AJ36" s="435" t="str">
        <f t="shared" si="0"/>
        <v/>
      </c>
      <c r="AK36" s="458" t="str">
        <f t="shared" si="6"/>
        <v/>
      </c>
      <c r="AL36" s="80"/>
    </row>
    <row r="37" spans="1:38" ht="21.75" customHeight="1" x14ac:dyDescent="0.25">
      <c r="A37" s="336" t="str">
        <f>IF('Panel order'!A37="","",'Panel order'!A37)</f>
        <v/>
      </c>
      <c r="B37" s="843" t="str">
        <f>IF('Panel order'!B37:G37="","",'Panel order'!B37:G37)</f>
        <v/>
      </c>
      <c r="C37" s="844"/>
      <c r="D37" s="845"/>
      <c r="E37" s="337" t="str">
        <f>IF('Panel order'!H37="","",'Panel order'!H37)</f>
        <v/>
      </c>
      <c r="F37" s="338"/>
      <c r="G37" s="843" t="str">
        <f>IF('Edge order'!B37="","",'Edge order'!B37)</f>
        <v/>
      </c>
      <c r="H37" s="845"/>
      <c r="I37" s="371" t="str">
        <f>IF('Edge order'!H37="","",'Edge order'!H37)</f>
        <v/>
      </c>
      <c r="J37" s="370" t="str">
        <f>IF('Edge order'!I37="","",'Edge order'!I37)</f>
        <v/>
      </c>
      <c r="K37" s="80"/>
      <c r="L37" s="365"/>
      <c r="M37" s="335" t="s">
        <v>792</v>
      </c>
      <c r="N37" s="434" t="str">
        <f>IF('Doors order'!B37="","",'Doors order'!B37)</f>
        <v/>
      </c>
      <c r="O37" s="435" t="str">
        <f>IF('Doors order'!C37="","",'Doors order'!C37)</f>
        <v/>
      </c>
      <c r="P37" s="435" t="str">
        <f>IF('Doors order'!D37="","",'Doors order'!D37)</f>
        <v/>
      </c>
      <c r="Q37" s="339" t="str">
        <f>IF('Doors order'!E37="","",'Doors order'!E37)</f>
        <v/>
      </c>
      <c r="R37" s="339" t="str">
        <f>IF('Doors order'!F37="","",'Doors order'!F37)</f>
        <v/>
      </c>
      <c r="S37" s="339" t="str">
        <f>IF('Doors order'!G37="","",'Doors order'!G37)</f>
        <v/>
      </c>
      <c r="T37" s="339" t="str">
        <f>IF('Doors order'!H37="","",'Doors order'!H37)</f>
        <v/>
      </c>
      <c r="U37" s="339" t="str">
        <f>IF('Doors order'!I37="","",'Doors order'!I37)</f>
        <v/>
      </c>
      <c r="V37" s="339" t="str">
        <f>IF('Doors order'!J37="","",'Doors order'!J37)</f>
        <v/>
      </c>
      <c r="W37" s="80"/>
      <c r="X37" s="365"/>
      <c r="Y37" s="335" t="s">
        <v>762</v>
      </c>
      <c r="Z37" s="434" t="str">
        <f>IF('Cava Doors order'!B37="","",'Cava Doors order'!B37)</f>
        <v/>
      </c>
      <c r="AA37" s="440" t="str">
        <f>IF('Cava Doors order'!C37="","",'Cava Doors order'!C37)</f>
        <v/>
      </c>
      <c r="AB37" s="440" t="str">
        <f>IF('Cava Doors order'!D37="","",'Cava Doors order'!D37)</f>
        <v/>
      </c>
      <c r="AC37" s="441" t="str">
        <f>IF('Cava Doors order'!E37="","",'Cava Doors order'!E37)</f>
        <v/>
      </c>
      <c r="AD37" s="441" t="str">
        <f>IF('Cava Doors order'!F37="","",'Cava Doors order'!F37)</f>
        <v/>
      </c>
      <c r="AE37" s="435" t="str">
        <f t="shared" si="1"/>
        <v/>
      </c>
      <c r="AF37" s="458" t="str">
        <f t="shared" si="2"/>
        <v/>
      </c>
      <c r="AG37" s="435" t="str">
        <f t="shared" si="3"/>
        <v/>
      </c>
      <c r="AH37" s="458" t="str">
        <f t="shared" si="4"/>
        <v/>
      </c>
      <c r="AI37" s="435" t="str">
        <f t="shared" si="5"/>
        <v/>
      </c>
      <c r="AJ37" s="435" t="str">
        <f t="shared" si="0"/>
        <v/>
      </c>
      <c r="AK37" s="458" t="str">
        <f t="shared" si="6"/>
        <v/>
      </c>
      <c r="AL37" s="80"/>
    </row>
    <row r="38" spans="1:38" ht="21.75" customHeight="1" x14ac:dyDescent="0.25">
      <c r="A38" s="336" t="str">
        <f>IF('Panel order'!A38="","",'Panel order'!A38)</f>
        <v/>
      </c>
      <c r="B38" s="843" t="str">
        <f>IF('Panel order'!B38:G38="","",'Panel order'!B38:G38)</f>
        <v/>
      </c>
      <c r="C38" s="844"/>
      <c r="D38" s="845"/>
      <c r="E38" s="337" t="str">
        <f>IF('Panel order'!H38="","",'Panel order'!H38)</f>
        <v/>
      </c>
      <c r="F38" s="338"/>
      <c r="G38" s="843" t="str">
        <f>IF('Edge order'!B38="","",'Edge order'!B38)</f>
        <v/>
      </c>
      <c r="H38" s="845"/>
      <c r="I38" s="371" t="str">
        <f>IF('Edge order'!H38="","",'Edge order'!H38)</f>
        <v/>
      </c>
      <c r="J38" s="370" t="str">
        <f>IF('Edge order'!I38="","",'Edge order'!I38)</f>
        <v/>
      </c>
      <c r="K38" s="80"/>
      <c r="L38" s="365"/>
      <c r="M38" s="335" t="s">
        <v>793</v>
      </c>
      <c r="N38" s="434" t="str">
        <f>IF('Doors order'!B38="","",'Doors order'!B38)</f>
        <v/>
      </c>
      <c r="O38" s="435" t="str">
        <f>IF('Doors order'!C38="","",'Doors order'!C38)</f>
        <v/>
      </c>
      <c r="P38" s="435" t="str">
        <f>IF('Doors order'!D38="","",'Doors order'!D38)</f>
        <v/>
      </c>
      <c r="Q38" s="339" t="str">
        <f>IF('Doors order'!E38="","",'Doors order'!E38)</f>
        <v/>
      </c>
      <c r="R38" s="339" t="str">
        <f>IF('Doors order'!F38="","",'Doors order'!F38)</f>
        <v/>
      </c>
      <c r="S38" s="339" t="str">
        <f>IF('Doors order'!G38="","",'Doors order'!G38)</f>
        <v/>
      </c>
      <c r="T38" s="339" t="str">
        <f>IF('Doors order'!H38="","",'Doors order'!H38)</f>
        <v/>
      </c>
      <c r="U38" s="339" t="str">
        <f>IF('Doors order'!I38="","",'Doors order'!I38)</f>
        <v/>
      </c>
      <c r="V38" s="339" t="str">
        <f>IF('Doors order'!J38="","",'Doors order'!J38)</f>
        <v/>
      </c>
      <c r="W38" s="80"/>
      <c r="X38" s="365"/>
      <c r="Y38" s="335" t="s">
        <v>763</v>
      </c>
      <c r="Z38" s="434" t="str">
        <f>IF('Cava Doors order'!B38="","",'Cava Doors order'!B38)</f>
        <v/>
      </c>
      <c r="AA38" s="440" t="str">
        <f>IF('Cava Doors order'!C38="","",'Cava Doors order'!C38)</f>
        <v/>
      </c>
      <c r="AB38" s="440" t="str">
        <f>IF('Cava Doors order'!D38="","",'Cava Doors order'!D38)</f>
        <v/>
      </c>
      <c r="AC38" s="441" t="str">
        <f>IF('Cava Doors order'!E38="","",'Cava Doors order'!E38)</f>
        <v/>
      </c>
      <c r="AD38" s="441" t="str">
        <f>IF('Cava Doors order'!F38="","",'Cava Doors order'!F38)</f>
        <v/>
      </c>
      <c r="AE38" s="435" t="str">
        <f t="shared" si="1"/>
        <v/>
      </c>
      <c r="AF38" s="458" t="str">
        <f t="shared" si="2"/>
        <v/>
      </c>
      <c r="AG38" s="435" t="str">
        <f t="shared" si="3"/>
        <v/>
      </c>
      <c r="AH38" s="458" t="str">
        <f t="shared" si="4"/>
        <v/>
      </c>
      <c r="AI38" s="435" t="str">
        <f t="shared" si="5"/>
        <v/>
      </c>
      <c r="AJ38" s="435" t="str">
        <f t="shared" si="0"/>
        <v/>
      </c>
      <c r="AK38" s="458" t="str">
        <f t="shared" si="6"/>
        <v/>
      </c>
      <c r="AL38" s="80"/>
    </row>
    <row r="39" spans="1:38" ht="21.75" customHeight="1" x14ac:dyDescent="0.25">
      <c r="A39" s="336" t="str">
        <f>IF('Panel order'!A39="","",'Panel order'!A39)</f>
        <v/>
      </c>
      <c r="B39" s="843" t="str">
        <f>IF('Panel order'!B39:G39="","",'Panel order'!B39:G39)</f>
        <v/>
      </c>
      <c r="C39" s="844"/>
      <c r="D39" s="845"/>
      <c r="E39" s="337" t="str">
        <f>IF('Panel order'!H39="","",'Panel order'!H39)</f>
        <v/>
      </c>
      <c r="F39" s="338"/>
      <c r="G39" s="843" t="str">
        <f>IF('Edge order'!B39="","",'Edge order'!B39)</f>
        <v/>
      </c>
      <c r="H39" s="845"/>
      <c r="I39" s="371" t="str">
        <f>IF('Edge order'!H39="","",'Edge order'!H39)</f>
        <v/>
      </c>
      <c r="J39" s="370" t="str">
        <f>IF('Edge order'!I39="","",'Edge order'!I39)</f>
        <v/>
      </c>
      <c r="K39" s="80"/>
      <c r="L39" s="365"/>
      <c r="M39" s="335" t="s">
        <v>794</v>
      </c>
      <c r="N39" s="434" t="str">
        <f>IF('Doors order'!B39="","",'Doors order'!B39)</f>
        <v/>
      </c>
      <c r="O39" s="435" t="str">
        <f>IF('Doors order'!C39="","",'Doors order'!C39)</f>
        <v/>
      </c>
      <c r="P39" s="435" t="str">
        <f>IF('Doors order'!D39="","",'Doors order'!D39)</f>
        <v/>
      </c>
      <c r="Q39" s="339" t="str">
        <f>IF('Doors order'!E39="","",'Doors order'!E39)</f>
        <v/>
      </c>
      <c r="R39" s="339" t="str">
        <f>IF('Doors order'!F39="","",'Doors order'!F39)</f>
        <v/>
      </c>
      <c r="S39" s="339" t="str">
        <f>IF('Doors order'!G39="","",'Doors order'!G39)</f>
        <v/>
      </c>
      <c r="T39" s="339" t="str">
        <f>IF('Doors order'!H39="","",'Doors order'!H39)</f>
        <v/>
      </c>
      <c r="U39" s="339" t="str">
        <f>IF('Doors order'!I39="","",'Doors order'!I39)</f>
        <v/>
      </c>
      <c r="V39" s="339" t="str">
        <f>IF('Doors order'!J39="","",'Doors order'!J39)</f>
        <v/>
      </c>
      <c r="W39" s="80"/>
      <c r="X39" s="365"/>
      <c r="Y39" s="335" t="s">
        <v>764</v>
      </c>
      <c r="Z39" s="434" t="str">
        <f>IF('Cava Doors order'!B39="","",'Cava Doors order'!B39)</f>
        <v/>
      </c>
      <c r="AA39" s="440" t="str">
        <f>IF('Cava Doors order'!C39="","",'Cava Doors order'!C39)</f>
        <v/>
      </c>
      <c r="AB39" s="440" t="str">
        <f>IF('Cava Doors order'!D39="","",'Cava Doors order'!D39)</f>
        <v/>
      </c>
      <c r="AC39" s="441" t="str">
        <f>IF('Cava Doors order'!E39="","",'Cava Doors order'!E39)</f>
        <v/>
      </c>
      <c r="AD39" s="441" t="str">
        <f>IF('Cava Doors order'!F39="","",'Cava Doors order'!F39)</f>
        <v/>
      </c>
      <c r="AE39" s="435" t="str">
        <f t="shared" si="1"/>
        <v/>
      </c>
      <c r="AF39" s="458" t="str">
        <f t="shared" si="2"/>
        <v/>
      </c>
      <c r="AG39" s="435" t="str">
        <f t="shared" si="3"/>
        <v/>
      </c>
      <c r="AH39" s="458" t="str">
        <f t="shared" si="4"/>
        <v/>
      </c>
      <c r="AI39" s="435" t="str">
        <f t="shared" si="5"/>
        <v/>
      </c>
      <c r="AJ39" s="435" t="str">
        <f t="shared" si="0"/>
        <v/>
      </c>
      <c r="AK39" s="458" t="str">
        <f t="shared" si="6"/>
        <v/>
      </c>
      <c r="AL39" s="80"/>
    </row>
    <row r="40" spans="1:38" ht="21.75" customHeight="1" x14ac:dyDescent="0.3">
      <c r="A40" s="13">
        <f>SUM(A10:A39)</f>
        <v>0</v>
      </c>
      <c r="B40" s="808" t="s">
        <v>84</v>
      </c>
      <c r="C40" s="809"/>
      <c r="D40" s="29"/>
      <c r="E40" s="81"/>
      <c r="F40" s="29"/>
      <c r="G40" s="29"/>
      <c r="H40" s="29"/>
      <c r="I40" s="13"/>
      <c r="J40" s="26"/>
      <c r="K40" s="26"/>
      <c r="L40" s="366"/>
      <c r="M40" s="26"/>
      <c r="N40" s="82">
        <f>SUM(N10:N39)</f>
        <v>0</v>
      </c>
      <c r="O40" s="808" t="s">
        <v>85</v>
      </c>
      <c r="P40" s="809"/>
      <c r="Q40" s="29"/>
      <c r="R40" s="29"/>
      <c r="S40" s="29"/>
      <c r="T40" s="29"/>
      <c r="U40" s="29"/>
      <c r="V40" s="13"/>
      <c r="W40" s="26"/>
      <c r="X40" s="366"/>
      <c r="Y40" s="26"/>
      <c r="Z40" s="82">
        <f>SUM(Z10:Z39)</f>
        <v>0</v>
      </c>
      <c r="AA40" s="808" t="s">
        <v>85</v>
      </c>
      <c r="AB40" s="809"/>
      <c r="AC40" s="29"/>
      <c r="AD40" s="29"/>
      <c r="AE40" s="29"/>
      <c r="AF40" s="29"/>
      <c r="AG40" s="29"/>
      <c r="AH40" s="29"/>
      <c r="AI40" s="29"/>
      <c r="AJ40" s="13"/>
      <c r="AK40" s="13"/>
      <c r="AL40" s="26"/>
    </row>
    <row r="41" spans="1:38" ht="21.75" customHeight="1" x14ac:dyDescent="0.25">
      <c r="A41" s="846" t="s">
        <v>125</v>
      </c>
      <c r="B41" s="847"/>
      <c r="C41" s="847"/>
      <c r="D41" s="847"/>
      <c r="E41" s="847"/>
      <c r="F41" s="848"/>
      <c r="G41" s="849" t="str">
        <f>IF('Doors order'!M7="yes","RUSH - RUSH - RUSH - RUSH","")</f>
        <v/>
      </c>
      <c r="H41" s="850"/>
      <c r="I41" s="850"/>
      <c r="J41" s="850"/>
      <c r="K41" s="352"/>
      <c r="L41" s="367"/>
      <c r="M41" s="810" t="s">
        <v>125</v>
      </c>
      <c r="N41" s="810"/>
      <c r="O41" s="810"/>
      <c r="P41" s="810"/>
      <c r="Q41" s="810"/>
      <c r="R41" s="810"/>
      <c r="S41" s="810"/>
      <c r="T41" s="811" t="str">
        <f>IF('Doors order'!M7="yes","RUSH - RUSH - RUSH","")</f>
        <v/>
      </c>
      <c r="U41" s="811"/>
      <c r="V41" s="811"/>
      <c r="W41" s="811"/>
      <c r="X41" s="439"/>
      <c r="Y41" s="810" t="s">
        <v>125</v>
      </c>
      <c r="Z41" s="810"/>
      <c r="AA41" s="810"/>
      <c r="AB41" s="810"/>
      <c r="AC41" s="810"/>
      <c r="AD41" s="810"/>
      <c r="AE41" s="810"/>
      <c r="AF41" s="449"/>
      <c r="AG41" s="811"/>
      <c r="AH41" s="811"/>
      <c r="AI41" s="811"/>
      <c r="AJ41" s="811"/>
      <c r="AK41" s="811"/>
      <c r="AL41" s="811"/>
    </row>
    <row r="42" spans="1:38" ht="36.75" customHeight="1" x14ac:dyDescent="0.25">
      <c r="A42" s="836"/>
      <c r="B42" s="837"/>
      <c r="C42" s="837"/>
      <c r="D42" s="837"/>
      <c r="E42" s="837"/>
      <c r="F42" s="837"/>
      <c r="G42" s="851"/>
      <c r="H42" s="852"/>
      <c r="I42" s="852"/>
      <c r="J42" s="852"/>
      <c r="K42" s="353"/>
      <c r="L42" s="368"/>
      <c r="M42" s="812"/>
      <c r="N42" s="812"/>
      <c r="O42" s="812"/>
      <c r="P42" s="812"/>
      <c r="Q42" s="812"/>
      <c r="R42" s="812"/>
      <c r="S42" s="812"/>
      <c r="T42" s="811"/>
      <c r="U42" s="811"/>
      <c r="V42" s="811"/>
      <c r="W42" s="811"/>
      <c r="X42" s="439"/>
      <c r="Y42" s="812"/>
      <c r="Z42" s="812"/>
      <c r="AA42" s="812"/>
      <c r="AB42" s="812"/>
      <c r="AC42" s="812"/>
      <c r="AD42" s="812"/>
      <c r="AE42" s="812"/>
      <c r="AF42" s="450"/>
      <c r="AG42" s="811"/>
      <c r="AH42" s="811"/>
      <c r="AI42" s="811"/>
      <c r="AJ42" s="811"/>
      <c r="AK42" s="811"/>
      <c r="AL42" s="811"/>
    </row>
    <row r="43" spans="1:38" ht="36.75" customHeight="1" x14ac:dyDescent="0.25">
      <c r="A43" s="838"/>
      <c r="B43" s="839"/>
      <c r="C43" s="839"/>
      <c r="D43" s="839"/>
      <c r="E43" s="839"/>
      <c r="F43" s="839"/>
      <c r="G43" s="853"/>
      <c r="H43" s="854"/>
      <c r="I43" s="854"/>
      <c r="J43" s="854"/>
      <c r="K43" s="354"/>
      <c r="L43" s="369"/>
      <c r="M43" s="812"/>
      <c r="N43" s="812"/>
      <c r="O43" s="812"/>
      <c r="P43" s="812"/>
      <c r="Q43" s="812"/>
      <c r="R43" s="812"/>
      <c r="S43" s="812"/>
      <c r="T43" s="811"/>
      <c r="U43" s="811"/>
      <c r="V43" s="811"/>
      <c r="W43" s="811"/>
      <c r="X43" s="439"/>
      <c r="Y43" s="812"/>
      <c r="Z43" s="812"/>
      <c r="AA43" s="812"/>
      <c r="AB43" s="812"/>
      <c r="AC43" s="812"/>
      <c r="AD43" s="812"/>
      <c r="AE43" s="812"/>
      <c r="AF43" s="450"/>
      <c r="AG43" s="811"/>
      <c r="AH43" s="811"/>
      <c r="AI43" s="811"/>
      <c r="AJ43" s="811"/>
      <c r="AK43" s="811"/>
      <c r="AL43" s="811"/>
    </row>
    <row r="44" spans="1:38" s="10" customFormat="1" ht="11.1" customHeight="1" x14ac:dyDescent="0.25">
      <c r="A44" s="68"/>
      <c r="B44" s="68"/>
      <c r="C44" s="68"/>
      <c r="D44" s="68"/>
      <c r="E44" s="840"/>
      <c r="F44" s="841"/>
      <c r="G44" s="841"/>
      <c r="H44" s="841"/>
      <c r="I44" s="842"/>
      <c r="J44" s="842"/>
      <c r="K44" s="90"/>
      <c r="L44" s="90"/>
      <c r="M44" s="90"/>
      <c r="N44" s="707"/>
      <c r="O44" s="841"/>
      <c r="P44" s="841"/>
      <c r="Q44" s="841"/>
      <c r="R44" s="840"/>
      <c r="S44" s="841"/>
      <c r="T44" s="841"/>
      <c r="U44" s="841"/>
      <c r="V44" s="842"/>
      <c r="W44" s="842"/>
      <c r="X44" s="90"/>
    </row>
    <row r="49" spans="4:14" x14ac:dyDescent="0.25">
      <c r="E49" s="1"/>
    </row>
    <row r="50" spans="4:14" x14ac:dyDescent="0.25">
      <c r="E50" s="1"/>
    </row>
    <row r="51" spans="4:14" s="10" customFormat="1" x14ac:dyDescent="0.25"/>
    <row r="52" spans="4:14" x14ac:dyDescent="0.25">
      <c r="E52" s="1"/>
    </row>
    <row r="53" spans="4:14" x14ac:dyDescent="0.25">
      <c r="E53" s="1"/>
    </row>
    <row r="54" spans="4:14" ht="28.5" x14ac:dyDescent="0.25">
      <c r="E54" s="1"/>
      <c r="N54" s="45"/>
    </row>
    <row r="55" spans="4:14" x14ac:dyDescent="0.25">
      <c r="E55" s="1"/>
      <c r="N55" s="44"/>
    </row>
    <row r="56" spans="4:14" x14ac:dyDescent="0.25">
      <c r="E56" s="1"/>
      <c r="N56" s="44"/>
    </row>
    <row r="57" spans="4:14" x14ac:dyDescent="0.25">
      <c r="E57" s="1"/>
      <c r="N57" s="44"/>
    </row>
    <row r="58" spans="4:14" x14ac:dyDescent="0.25">
      <c r="D58" s="1" t="s">
        <v>902</v>
      </c>
      <c r="E58" s="1"/>
      <c r="N58" s="44"/>
    </row>
    <row r="59" spans="4:14" x14ac:dyDescent="0.25">
      <c r="E59" s="1"/>
      <c r="N59" s="44"/>
    </row>
    <row r="60" spans="4:14" x14ac:dyDescent="0.25">
      <c r="E60" s="1"/>
      <c r="N60" s="44"/>
    </row>
    <row r="61" spans="4:14" x14ac:dyDescent="0.25">
      <c r="E61" s="1"/>
      <c r="N61" s="44"/>
    </row>
    <row r="62" spans="4:14" x14ac:dyDescent="0.25">
      <c r="E62" s="1"/>
      <c r="N62" s="44"/>
    </row>
    <row r="63" spans="4:14" x14ac:dyDescent="0.25">
      <c r="E63" s="1"/>
      <c r="N63" s="44"/>
    </row>
    <row r="64" spans="4:14" x14ac:dyDescent="0.25">
      <c r="E64" s="1"/>
      <c r="N64" s="44"/>
    </row>
    <row r="65" spans="14:14" s="1" customFormat="1" x14ac:dyDescent="0.25">
      <c r="N65" s="44"/>
    </row>
    <row r="66" spans="14:14" s="1" customFormat="1" x14ac:dyDescent="0.25">
      <c r="N66" s="44"/>
    </row>
    <row r="67" spans="14:14" s="1" customFormat="1" x14ac:dyDescent="0.25">
      <c r="N67" s="44"/>
    </row>
    <row r="68" spans="14:14" s="1" customFormat="1" x14ac:dyDescent="0.25">
      <c r="N68" s="44"/>
    </row>
    <row r="69" spans="14:14" s="1" customFormat="1" x14ac:dyDescent="0.25">
      <c r="N69" s="44"/>
    </row>
    <row r="70" spans="14:14" s="1" customFormat="1" x14ac:dyDescent="0.25">
      <c r="N70" s="44"/>
    </row>
    <row r="71" spans="14:14" s="1" customFormat="1" x14ac:dyDescent="0.25">
      <c r="N71" s="44"/>
    </row>
    <row r="72" spans="14:14" s="1" customFormat="1" x14ac:dyDescent="0.25">
      <c r="N72" s="44"/>
    </row>
    <row r="73" spans="14:14" s="1" customFormat="1" x14ac:dyDescent="0.25">
      <c r="N73" s="44"/>
    </row>
    <row r="74" spans="14:14" s="1" customFormat="1" x14ac:dyDescent="0.25">
      <c r="N74" s="44"/>
    </row>
    <row r="75" spans="14:14" s="1" customFormat="1" x14ac:dyDescent="0.25">
      <c r="N75" s="44"/>
    </row>
    <row r="76" spans="14:14" s="1" customFormat="1" x14ac:dyDescent="0.25">
      <c r="N76" s="44"/>
    </row>
    <row r="77" spans="14:14" s="1" customFormat="1" x14ac:dyDescent="0.25">
      <c r="N77" s="44"/>
    </row>
    <row r="78" spans="14:14" s="1" customFormat="1" x14ac:dyDescent="0.25">
      <c r="N78" s="44"/>
    </row>
    <row r="79" spans="14:14" s="1" customFormat="1" x14ac:dyDescent="0.25">
      <c r="N79" s="44"/>
    </row>
    <row r="80" spans="14:14" s="1" customFormat="1" x14ac:dyDescent="0.25">
      <c r="N80" s="44"/>
    </row>
    <row r="81" spans="5:14" x14ac:dyDescent="0.25">
      <c r="N81" s="44"/>
    </row>
    <row r="82" spans="5:14" x14ac:dyDescent="0.25">
      <c r="N82" s="44"/>
    </row>
    <row r="83" spans="5:14" x14ac:dyDescent="0.25">
      <c r="N83" s="44"/>
    </row>
    <row r="88" spans="5:14" x14ac:dyDescent="0.25">
      <c r="E88" s="1"/>
    </row>
    <row r="89" spans="5:14" x14ac:dyDescent="0.25">
      <c r="E89" s="1"/>
    </row>
    <row r="90" spans="5:14" x14ac:dyDescent="0.25">
      <c r="E90" s="1"/>
    </row>
    <row r="91" spans="5:14" x14ac:dyDescent="0.25">
      <c r="E91" s="1"/>
    </row>
    <row r="92" spans="5:14" x14ac:dyDescent="0.25">
      <c r="E92" s="1"/>
    </row>
    <row r="93" spans="5:14" x14ac:dyDescent="0.25">
      <c r="E93" s="1"/>
    </row>
    <row r="94" spans="5:14" x14ac:dyDescent="0.25">
      <c r="E94" s="1"/>
    </row>
    <row r="95" spans="5:14" x14ac:dyDescent="0.25">
      <c r="E95" s="1"/>
    </row>
  </sheetData>
  <sheetProtection password="CD8C" sheet="1" objects="1" scenarios="1" selectLockedCells="1"/>
  <mergeCells count="105">
    <mergeCell ref="E1:H5"/>
    <mergeCell ref="R1:U5"/>
    <mergeCell ref="V1:W1"/>
    <mergeCell ref="V2:W5"/>
    <mergeCell ref="M1:Q5"/>
    <mergeCell ref="I1:K1"/>
    <mergeCell ref="I2:K5"/>
    <mergeCell ref="S7:T7"/>
    <mergeCell ref="B9:D9"/>
    <mergeCell ref="G9:H9"/>
    <mergeCell ref="B10:D10"/>
    <mergeCell ref="G10:H10"/>
    <mergeCell ref="M7:P7"/>
    <mergeCell ref="B11:D11"/>
    <mergeCell ref="G11:H11"/>
    <mergeCell ref="A6:C6"/>
    <mergeCell ref="D6:E6"/>
    <mergeCell ref="Q6:R6"/>
    <mergeCell ref="A7:C7"/>
    <mergeCell ref="D7:E7"/>
    <mergeCell ref="F7:G7"/>
    <mergeCell ref="Q7:R7"/>
    <mergeCell ref="M6:P6"/>
    <mergeCell ref="B15:D15"/>
    <mergeCell ref="G15:H15"/>
    <mergeCell ref="B16:D16"/>
    <mergeCell ref="G16:H16"/>
    <mergeCell ref="B17:D17"/>
    <mergeCell ref="G17:H17"/>
    <mergeCell ref="B12:D12"/>
    <mergeCell ref="G12:H12"/>
    <mergeCell ref="B13:D13"/>
    <mergeCell ref="G13:H13"/>
    <mergeCell ref="B14:D14"/>
    <mergeCell ref="G14:H14"/>
    <mergeCell ref="B21:D21"/>
    <mergeCell ref="G21:H21"/>
    <mergeCell ref="B22:D22"/>
    <mergeCell ref="G22:H22"/>
    <mergeCell ref="B23:D23"/>
    <mergeCell ref="G23:H23"/>
    <mergeCell ref="B18:D18"/>
    <mergeCell ref="G18:H18"/>
    <mergeCell ref="B19:D19"/>
    <mergeCell ref="G19:H19"/>
    <mergeCell ref="B20:D20"/>
    <mergeCell ref="G20:H20"/>
    <mergeCell ref="B27:D27"/>
    <mergeCell ref="G27:H27"/>
    <mergeCell ref="B28:D28"/>
    <mergeCell ref="G28:H28"/>
    <mergeCell ref="B29:D29"/>
    <mergeCell ref="G29:H29"/>
    <mergeCell ref="B24:D24"/>
    <mergeCell ref="G24:H24"/>
    <mergeCell ref="B25:D25"/>
    <mergeCell ref="G25:H25"/>
    <mergeCell ref="B26:D26"/>
    <mergeCell ref="G26:H26"/>
    <mergeCell ref="B33:D33"/>
    <mergeCell ref="G33:H33"/>
    <mergeCell ref="B34:D34"/>
    <mergeCell ref="G34:H34"/>
    <mergeCell ref="B35:D35"/>
    <mergeCell ref="G35:H35"/>
    <mergeCell ref="B30:D30"/>
    <mergeCell ref="G30:H30"/>
    <mergeCell ref="B31:D31"/>
    <mergeCell ref="G31:H31"/>
    <mergeCell ref="B32:D32"/>
    <mergeCell ref="G32:H32"/>
    <mergeCell ref="B39:D39"/>
    <mergeCell ref="G39:H39"/>
    <mergeCell ref="B40:C40"/>
    <mergeCell ref="O40:P40"/>
    <mergeCell ref="A41:F41"/>
    <mergeCell ref="G41:J43"/>
    <mergeCell ref="B36:D36"/>
    <mergeCell ref="G36:H36"/>
    <mergeCell ref="B37:D37"/>
    <mergeCell ref="G37:H37"/>
    <mergeCell ref="B38:D38"/>
    <mergeCell ref="G38:H38"/>
    <mergeCell ref="T41:W43"/>
    <mergeCell ref="A42:F43"/>
    <mergeCell ref="E44:H44"/>
    <mergeCell ref="I44:J44"/>
    <mergeCell ref="N44:Q44"/>
    <mergeCell ref="R44:U44"/>
    <mergeCell ref="V44:W44"/>
    <mergeCell ref="M41:S41"/>
    <mergeCell ref="M42:S43"/>
    <mergeCell ref="Y7:AB7"/>
    <mergeCell ref="AC7:AD7"/>
    <mergeCell ref="AE7:AG7"/>
    <mergeCell ref="AA40:AB40"/>
    <mergeCell ref="Y41:AE41"/>
    <mergeCell ref="AG41:AL43"/>
    <mergeCell ref="Y42:AE43"/>
    <mergeCell ref="Y1:AC5"/>
    <mergeCell ref="AD1:AI5"/>
    <mergeCell ref="AJ1:AL1"/>
    <mergeCell ref="AJ2:AL5"/>
    <mergeCell ref="Y6:AB6"/>
    <mergeCell ref="AC6:AD6"/>
  </mergeCells>
  <phoneticPr fontId="7" type="noConversion"/>
  <pageMargins left="0.278740157480315" right="0.278740157480315" top="0.39" bottom="0.39" header="0.5" footer="0.5"/>
  <pageSetup scale="52" orientation="landscape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030A0"/>
  </sheetPr>
  <dimension ref="A1:AZ177"/>
  <sheetViews>
    <sheetView topLeftCell="AC1" zoomScale="150" zoomScaleNormal="150" zoomScalePageLayoutView="85" workbookViewId="0">
      <pane ySplit="2" topLeftCell="A3" activePane="bottomLeft" state="frozen"/>
      <selection pane="bottomLeft" activeCell="AP3" sqref="AP3"/>
    </sheetView>
  </sheetViews>
  <sheetFormatPr defaultColWidth="11.28515625" defaultRowHeight="15" x14ac:dyDescent="0.25"/>
  <cols>
    <col min="1" max="2" width="30.140625" style="152" bestFit="1" customWidth="1"/>
    <col min="3" max="3" width="16.28515625" style="262" customWidth="1"/>
    <col min="4" max="12" width="16.28515625" style="171" customWidth="1"/>
    <col min="13" max="13" width="23" style="171" customWidth="1"/>
    <col min="14" max="18" width="16.28515625" style="171" customWidth="1"/>
    <col min="19" max="19" width="6.42578125" style="171" customWidth="1"/>
    <col min="20" max="20" width="7.7109375" style="171" customWidth="1"/>
    <col min="21" max="21" width="14.7109375" style="152" customWidth="1"/>
    <col min="22" max="22" width="18.42578125" style="152" customWidth="1"/>
    <col min="23" max="23" width="14.140625" style="152" customWidth="1"/>
    <col min="24" max="24" width="14.42578125" style="152" customWidth="1"/>
    <col min="25" max="25" width="28.42578125" style="510" bestFit="1" customWidth="1"/>
    <col min="26" max="26" width="13.28515625" style="510" customWidth="1"/>
    <col min="27" max="27" width="16.7109375" style="510" customWidth="1"/>
    <col min="28" max="28" width="15" style="510" customWidth="1"/>
    <col min="29" max="29" width="10.28515625" style="510" customWidth="1"/>
    <col min="30" max="30" width="10.85546875" style="510" customWidth="1"/>
    <col min="31" max="32" width="4.85546875" style="152" customWidth="1"/>
    <col min="33" max="33" width="10.42578125" style="152" customWidth="1"/>
    <col min="34" max="34" width="20" style="152" customWidth="1"/>
    <col min="35" max="35" width="18.42578125" style="152" customWidth="1"/>
    <col min="36" max="36" width="12.140625" style="152" customWidth="1"/>
    <col min="37" max="37" width="30.85546875" style="183" customWidth="1"/>
    <col min="38" max="38" width="12.28515625" style="183" customWidth="1"/>
    <col min="39" max="39" width="16.7109375" style="183" customWidth="1"/>
    <col min="40" max="40" width="15.140625" style="183" customWidth="1"/>
    <col min="41" max="41" width="3.140625" style="183" customWidth="1"/>
    <col min="42" max="42" width="30.140625" style="152" customWidth="1"/>
    <col min="43" max="43" width="13.140625" style="152" customWidth="1"/>
    <col min="44" max="44" width="3.140625" style="152" customWidth="1"/>
    <col min="45" max="45" width="25.42578125" style="152" customWidth="1"/>
    <col min="46" max="46" width="22.42578125" style="409" customWidth="1"/>
    <col min="47" max="47" width="24.42578125" style="182" customWidth="1"/>
    <col min="48" max="48" width="24.42578125" style="152" customWidth="1"/>
    <col min="49" max="49" width="7.85546875" style="154" customWidth="1"/>
    <col min="50" max="50" width="15.42578125" style="152" customWidth="1"/>
    <col min="51" max="51" width="25.140625" style="152" customWidth="1"/>
    <col min="52" max="52" width="13.85546875" style="152" customWidth="1"/>
    <col min="53" max="53" width="18.42578125" style="152" customWidth="1"/>
    <col min="54" max="55" width="18.7109375" style="152" customWidth="1"/>
    <col min="56" max="57" width="13.28515625" style="152" customWidth="1"/>
    <col min="58" max="58" width="20.140625" style="152" customWidth="1"/>
    <col min="59" max="59" width="23" style="152" customWidth="1"/>
    <col min="60" max="60" width="43" style="152" customWidth="1"/>
    <col min="61" max="61" width="23.140625" style="152" customWidth="1"/>
    <col min="62" max="62" width="46.85546875" style="152" customWidth="1"/>
    <col min="63" max="63" width="24.42578125" style="152" customWidth="1"/>
    <col min="64" max="64" width="22.28515625" style="152" customWidth="1"/>
    <col min="65" max="65" width="23.7109375" style="152" customWidth="1"/>
    <col min="66" max="68" width="16.7109375" style="152" customWidth="1"/>
    <col min="69" max="72" width="17.140625" style="152" customWidth="1"/>
    <col min="73" max="74" width="15.140625" style="152" customWidth="1"/>
    <col min="75" max="75" width="16" style="152" customWidth="1"/>
    <col min="76" max="76" width="11.28515625" style="152" customWidth="1"/>
    <col min="77" max="77" width="18.140625" style="152" customWidth="1"/>
    <col min="78" max="78" width="20.85546875" style="152" customWidth="1"/>
    <col min="79" max="79" width="23" style="152" customWidth="1"/>
    <col min="80" max="80" width="22.140625" style="152" customWidth="1"/>
    <col min="81" max="81" width="24.28515625" style="152" customWidth="1"/>
    <col min="82" max="82" width="20.7109375" style="152" customWidth="1"/>
    <col min="83" max="83" width="22.85546875" style="152" customWidth="1"/>
    <col min="84" max="84" width="24.42578125" style="152" customWidth="1"/>
    <col min="85" max="85" width="26.7109375" style="152" customWidth="1"/>
    <col min="86" max="86" width="19.85546875" style="152" customWidth="1"/>
    <col min="87" max="87" width="22" style="152" customWidth="1"/>
    <col min="88" max="88" width="23.7109375" style="152" customWidth="1"/>
    <col min="89" max="89" width="25.85546875" style="152" customWidth="1"/>
    <col min="90" max="90" width="22" style="152" customWidth="1"/>
    <col min="91" max="91" width="24.140625" style="152" customWidth="1"/>
    <col min="92" max="92" width="21.140625" style="152" customWidth="1"/>
    <col min="93" max="93" width="23.28515625" style="152" customWidth="1"/>
    <col min="94" max="94" width="22.28515625" style="152" customWidth="1"/>
    <col min="95" max="95" width="24.42578125" style="152" customWidth="1"/>
    <col min="96" max="96" width="22.140625" style="152" customWidth="1"/>
    <col min="97" max="97" width="24.28515625" style="152" customWidth="1"/>
    <col min="98" max="98" width="23.7109375" style="152" customWidth="1"/>
    <col min="99" max="99" width="25.85546875" style="152" customWidth="1"/>
    <col min="100" max="100" width="20.28515625" style="152" customWidth="1"/>
    <col min="101" max="101" width="22.42578125" style="152" customWidth="1"/>
    <col min="102" max="102" width="23" style="152" customWidth="1"/>
    <col min="103" max="103" width="25.140625" style="152" customWidth="1"/>
    <col min="104" max="104" width="21.140625" style="152" customWidth="1"/>
    <col min="105" max="105" width="23.28515625" style="152" customWidth="1"/>
    <col min="106" max="106" width="20.28515625" style="152" customWidth="1"/>
    <col min="107" max="107" width="22.42578125" style="152" customWidth="1"/>
    <col min="108" max="108" width="22.85546875" style="152" customWidth="1"/>
    <col min="109" max="109" width="25" style="152" customWidth="1"/>
    <col min="110" max="110" width="23.7109375" style="152" customWidth="1"/>
    <col min="111" max="111" width="25.85546875" style="152" customWidth="1"/>
    <col min="112" max="112" width="21.85546875" style="152" customWidth="1"/>
    <col min="113" max="113" width="24" style="152" customWidth="1"/>
    <col min="114" max="114" width="21.140625" style="152" customWidth="1"/>
    <col min="115" max="115" width="23.28515625" style="152" customWidth="1"/>
    <col min="116" max="116" width="23.140625" style="152" customWidth="1"/>
    <col min="117" max="117" width="25.140625" style="152" customWidth="1"/>
    <col min="118" max="118" width="18.28515625" style="152" customWidth="1"/>
    <col min="119" max="119" width="20.42578125" style="152" customWidth="1"/>
    <col min="120" max="120" width="22.7109375" style="152" customWidth="1"/>
    <col min="121" max="121" width="24.85546875" style="152" customWidth="1"/>
    <col min="122" max="122" width="19.28515625" style="152" customWidth="1"/>
    <col min="123" max="123" width="11.28515625" style="152" customWidth="1"/>
    <col min="124" max="124" width="10.7109375" style="152" customWidth="1"/>
    <col min="125" max="125" width="8.42578125" style="152" customWidth="1"/>
    <col min="126" max="126" width="21.42578125" style="152" customWidth="1"/>
    <col min="127" max="127" width="19.28515625" style="152" customWidth="1"/>
    <col min="128" max="128" width="11.28515625" style="152" customWidth="1"/>
    <col min="129" max="129" width="10.7109375" style="152" customWidth="1"/>
    <col min="130" max="130" width="8.42578125" style="152" customWidth="1"/>
    <col min="131" max="131" width="21.42578125" style="152" customWidth="1"/>
    <col min="132" max="132" width="19.28515625" style="152" customWidth="1"/>
    <col min="133" max="133" width="11.28515625" style="152" customWidth="1"/>
    <col min="134" max="134" width="10.7109375" style="152" customWidth="1"/>
    <col min="135" max="135" width="8.42578125" style="152" customWidth="1"/>
    <col min="136" max="136" width="21.42578125" style="152" customWidth="1"/>
    <col min="137" max="137" width="19.28515625" style="152" customWidth="1"/>
    <col min="138" max="138" width="11.28515625" style="152" customWidth="1"/>
    <col min="139" max="139" width="10.7109375" style="152" customWidth="1"/>
    <col min="140" max="140" width="8.42578125" style="152" customWidth="1"/>
    <col min="141" max="141" width="21.42578125" style="152" customWidth="1"/>
    <col min="142" max="142" width="22.28515625" style="152" customWidth="1"/>
    <col min="143" max="143" width="24.42578125" style="152" customWidth="1"/>
    <col min="144" max="144" width="22.140625" style="152" customWidth="1"/>
    <col min="145" max="145" width="24.140625" style="152" customWidth="1"/>
    <col min="146" max="146" width="22.85546875" style="152" customWidth="1"/>
    <col min="147" max="147" width="25" style="152" customWidth="1"/>
    <col min="148" max="148" width="21.42578125" style="152" customWidth="1"/>
    <col min="149" max="149" width="23.7109375" style="152" customWidth="1"/>
    <col min="150" max="150" width="15.42578125" style="152" customWidth="1"/>
    <col min="151" max="151" width="11.28515625" style="152" customWidth="1"/>
    <col min="152" max="152" width="10.7109375" style="152" customWidth="1"/>
    <col min="153" max="153" width="8.42578125" style="152" customWidth="1"/>
    <col min="154" max="154" width="17.7109375" style="152" customWidth="1"/>
    <col min="155" max="155" width="15.42578125" style="152" customWidth="1"/>
    <col min="156" max="156" width="11.28515625" style="152" customWidth="1"/>
    <col min="157" max="157" width="10.7109375" style="152" customWidth="1"/>
    <col min="158" max="158" width="8.42578125" style="152" customWidth="1"/>
    <col min="159" max="159" width="17.7109375" style="152" customWidth="1"/>
    <col min="160" max="160" width="15.42578125" style="152" customWidth="1"/>
    <col min="161" max="161" width="11.28515625" style="152" customWidth="1"/>
    <col min="162" max="162" width="10.7109375" style="152" customWidth="1"/>
    <col min="163" max="163" width="8.42578125" style="152" customWidth="1"/>
    <col min="164" max="164" width="17.7109375" style="152" customWidth="1"/>
    <col min="165" max="165" width="25.140625" style="152" customWidth="1"/>
    <col min="166" max="166" width="11.28515625" style="152" customWidth="1"/>
    <col min="167" max="167" width="10.7109375" style="152" customWidth="1"/>
    <col min="168" max="168" width="8.42578125" style="152" customWidth="1"/>
    <col min="169" max="169" width="27.28515625" style="152" customWidth="1"/>
    <col min="170" max="170" width="22.28515625" style="152" customWidth="1"/>
    <col min="171" max="171" width="11.28515625" style="152" customWidth="1"/>
    <col min="172" max="172" width="10.7109375" style="152" customWidth="1"/>
    <col min="173" max="173" width="8.42578125" style="152" customWidth="1"/>
    <col min="174" max="174" width="24.42578125" style="152" customWidth="1"/>
    <col min="175" max="175" width="25.28515625" style="152" customWidth="1"/>
    <col min="176" max="176" width="11.28515625" style="152" customWidth="1"/>
    <col min="177" max="177" width="10.7109375" style="152" customWidth="1"/>
    <col min="178" max="178" width="8.42578125" style="152" customWidth="1"/>
    <col min="179" max="179" width="27.42578125" style="152" customWidth="1"/>
    <col min="180" max="180" width="26.140625" style="152" customWidth="1"/>
    <col min="181" max="181" width="11.28515625" style="152" customWidth="1"/>
    <col min="182" max="182" width="10.7109375" style="152" customWidth="1"/>
    <col min="183" max="183" width="8.42578125" style="152" customWidth="1"/>
    <col min="184" max="184" width="28.140625" style="152" customWidth="1"/>
    <col min="185" max="185" width="26.7109375" style="152" customWidth="1"/>
    <col min="186" max="186" width="11.28515625" style="152" customWidth="1"/>
    <col min="187" max="187" width="10.7109375" style="152" customWidth="1"/>
    <col min="188" max="188" width="8.42578125" style="152" customWidth="1"/>
    <col min="189" max="189" width="28.85546875" style="152" customWidth="1"/>
    <col min="190" max="190" width="24.42578125" style="152" customWidth="1"/>
    <col min="191" max="191" width="11.28515625" style="152" customWidth="1"/>
    <col min="192" max="192" width="10.7109375" style="152" customWidth="1"/>
    <col min="193" max="193" width="8.42578125" style="152" customWidth="1"/>
    <col min="194" max="194" width="26.7109375" style="152" customWidth="1"/>
    <col min="195" max="195" width="25.85546875" style="152" customWidth="1"/>
    <col min="196" max="201" width="11.28515625" style="152" customWidth="1"/>
    <col min="202" max="16384" width="11.28515625" style="152"/>
  </cols>
  <sheetData>
    <row r="1" spans="1:51" ht="15.75" thickBot="1" x14ac:dyDescent="0.3">
      <c r="A1" s="152">
        <v>1</v>
      </c>
      <c r="B1" s="152">
        <v>1</v>
      </c>
      <c r="C1" s="152">
        <f t="shared" ref="C1:AY1" si="0">B1+1</f>
        <v>2</v>
      </c>
      <c r="D1" s="152">
        <f t="shared" si="0"/>
        <v>3</v>
      </c>
      <c r="E1" s="152">
        <f t="shared" si="0"/>
        <v>4</v>
      </c>
      <c r="F1" s="152">
        <f t="shared" si="0"/>
        <v>5</v>
      </c>
      <c r="G1" s="152">
        <f t="shared" si="0"/>
        <v>6</v>
      </c>
      <c r="H1" s="152">
        <f t="shared" si="0"/>
        <v>7</v>
      </c>
      <c r="I1" s="152">
        <f t="shared" si="0"/>
        <v>8</v>
      </c>
      <c r="J1" s="152">
        <f t="shared" si="0"/>
        <v>9</v>
      </c>
      <c r="K1" s="152">
        <f t="shared" si="0"/>
        <v>10</v>
      </c>
      <c r="L1" s="152">
        <f t="shared" si="0"/>
        <v>11</v>
      </c>
      <c r="M1" s="152">
        <f t="shared" si="0"/>
        <v>12</v>
      </c>
      <c r="N1" s="152">
        <f t="shared" si="0"/>
        <v>13</v>
      </c>
      <c r="O1" s="152">
        <f t="shared" si="0"/>
        <v>14</v>
      </c>
      <c r="P1" s="152">
        <f t="shared" si="0"/>
        <v>15</v>
      </c>
      <c r="Q1" s="152">
        <f t="shared" si="0"/>
        <v>16</v>
      </c>
      <c r="R1" s="152">
        <f t="shared" si="0"/>
        <v>17</v>
      </c>
      <c r="S1" s="152">
        <f t="shared" si="0"/>
        <v>18</v>
      </c>
      <c r="T1" s="152">
        <f t="shared" si="0"/>
        <v>19</v>
      </c>
      <c r="U1" s="152">
        <f t="shared" si="0"/>
        <v>20</v>
      </c>
      <c r="V1" s="152">
        <f t="shared" si="0"/>
        <v>21</v>
      </c>
      <c r="W1" s="152">
        <f t="shared" si="0"/>
        <v>22</v>
      </c>
      <c r="X1" s="152">
        <f t="shared" si="0"/>
        <v>23</v>
      </c>
      <c r="Y1" s="229">
        <f t="shared" si="0"/>
        <v>24</v>
      </c>
      <c r="Z1" s="229">
        <f t="shared" si="0"/>
        <v>25</v>
      </c>
      <c r="AA1" s="229">
        <f t="shared" si="0"/>
        <v>26</v>
      </c>
      <c r="AB1" s="229">
        <f t="shared" si="0"/>
        <v>27</v>
      </c>
      <c r="AC1" s="229">
        <f t="shared" si="0"/>
        <v>28</v>
      </c>
      <c r="AD1" s="229">
        <f t="shared" si="0"/>
        <v>29</v>
      </c>
      <c r="AE1" s="152">
        <f t="shared" si="0"/>
        <v>30</v>
      </c>
      <c r="AF1" s="152">
        <f t="shared" si="0"/>
        <v>31</v>
      </c>
      <c r="AG1" s="152">
        <f t="shared" si="0"/>
        <v>32</v>
      </c>
      <c r="AH1" s="152">
        <f t="shared" si="0"/>
        <v>33</v>
      </c>
      <c r="AI1" s="152">
        <f t="shared" si="0"/>
        <v>34</v>
      </c>
      <c r="AJ1" s="152">
        <f t="shared" si="0"/>
        <v>35</v>
      </c>
      <c r="AK1" s="152">
        <f t="shared" si="0"/>
        <v>36</v>
      </c>
      <c r="AL1" s="152">
        <f t="shared" si="0"/>
        <v>37</v>
      </c>
      <c r="AM1" s="152">
        <f t="shared" si="0"/>
        <v>38</v>
      </c>
      <c r="AN1" s="152">
        <f t="shared" si="0"/>
        <v>39</v>
      </c>
      <c r="AO1" s="152">
        <f t="shared" si="0"/>
        <v>40</v>
      </c>
      <c r="AP1" s="152">
        <f t="shared" si="0"/>
        <v>41</v>
      </c>
      <c r="AQ1" s="152">
        <f t="shared" si="0"/>
        <v>42</v>
      </c>
      <c r="AR1" s="152">
        <f t="shared" si="0"/>
        <v>43</v>
      </c>
      <c r="AS1" s="152">
        <f t="shared" si="0"/>
        <v>44</v>
      </c>
      <c r="AT1" s="152">
        <f t="shared" si="0"/>
        <v>45</v>
      </c>
      <c r="AU1" s="152">
        <f t="shared" si="0"/>
        <v>46</v>
      </c>
      <c r="AV1" s="152">
        <f t="shared" si="0"/>
        <v>47</v>
      </c>
      <c r="AW1" s="154">
        <f t="shared" si="0"/>
        <v>48</v>
      </c>
      <c r="AX1" s="152">
        <f t="shared" si="0"/>
        <v>49</v>
      </c>
      <c r="AY1" s="152">
        <f t="shared" si="0"/>
        <v>50</v>
      </c>
    </row>
    <row r="2" spans="1:51" s="496" customFormat="1" ht="30.75" thickBot="1" x14ac:dyDescent="0.4">
      <c r="A2" s="487" t="s">
        <v>98</v>
      </c>
      <c r="B2" s="488" t="s">
        <v>256</v>
      </c>
      <c r="C2" s="489" t="s">
        <v>272</v>
      </c>
      <c r="D2" s="489" t="s">
        <v>273</v>
      </c>
      <c r="E2" s="489" t="s">
        <v>274</v>
      </c>
      <c r="F2" s="489" t="s">
        <v>275</v>
      </c>
      <c r="G2" s="569" t="s">
        <v>282</v>
      </c>
      <c r="H2" s="570" t="s">
        <v>74</v>
      </c>
      <c r="I2" s="571" t="s">
        <v>284</v>
      </c>
      <c r="J2" s="570" t="s">
        <v>79</v>
      </c>
      <c r="K2" s="570" t="s">
        <v>81</v>
      </c>
      <c r="L2" s="570" t="s">
        <v>217</v>
      </c>
      <c r="M2" s="570" t="s">
        <v>921</v>
      </c>
      <c r="N2" s="570" t="s">
        <v>287</v>
      </c>
      <c r="O2" s="570" t="s">
        <v>288</v>
      </c>
      <c r="P2" s="570" t="s">
        <v>289</v>
      </c>
      <c r="Q2" s="570" t="s">
        <v>290</v>
      </c>
      <c r="R2" s="570" t="s">
        <v>72</v>
      </c>
      <c r="S2" s="490" t="s">
        <v>58</v>
      </c>
      <c r="T2" s="490" t="s">
        <v>57</v>
      </c>
      <c r="U2" s="491" t="s">
        <v>60</v>
      </c>
      <c r="V2" s="492" t="s">
        <v>35</v>
      </c>
      <c r="W2" s="493" t="s">
        <v>61</v>
      </c>
      <c r="X2" s="494" t="s">
        <v>62</v>
      </c>
      <c r="Y2" s="229" t="s">
        <v>99</v>
      </c>
      <c r="Z2" s="229" t="s">
        <v>69</v>
      </c>
      <c r="AA2" s="229" t="s">
        <v>70</v>
      </c>
      <c r="AB2" s="229" t="s">
        <v>71</v>
      </c>
      <c r="AC2" s="229" t="s">
        <v>72</v>
      </c>
      <c r="AD2" s="229" t="s">
        <v>73</v>
      </c>
      <c r="AF2" s="863" t="s">
        <v>68</v>
      </c>
      <c r="AG2" s="864"/>
      <c r="AH2" s="865"/>
      <c r="AI2" s="866"/>
      <c r="AK2" s="497" t="s">
        <v>23</v>
      </c>
      <c r="AL2" s="498"/>
      <c r="AM2" s="498"/>
      <c r="AN2" s="499" t="s">
        <v>24</v>
      </c>
      <c r="AO2" s="499"/>
      <c r="AT2" s="500"/>
      <c r="AU2" s="495" t="s">
        <v>99</v>
      </c>
      <c r="AW2" s="519"/>
      <c r="AY2" s="501" t="s">
        <v>656</v>
      </c>
    </row>
    <row r="3" spans="1:51" ht="15.75" customHeight="1" thickBot="1" x14ac:dyDescent="0.3">
      <c r="A3" s="536" t="s">
        <v>945</v>
      </c>
      <c r="B3" s="536" t="s">
        <v>945</v>
      </c>
      <c r="C3" s="186" t="s">
        <v>218</v>
      </c>
      <c r="D3" s="186" t="s">
        <v>218</v>
      </c>
      <c r="E3" s="186" t="s">
        <v>218</v>
      </c>
      <c r="F3" s="186" t="s">
        <v>218</v>
      </c>
      <c r="G3" s="186" t="s">
        <v>218</v>
      </c>
      <c r="H3" s="530" t="s">
        <v>75</v>
      </c>
      <c r="I3" s="186" t="s">
        <v>218</v>
      </c>
      <c r="J3" s="530">
        <f>$AL$47</f>
        <v>29</v>
      </c>
      <c r="K3" s="530" t="s">
        <v>218</v>
      </c>
      <c r="L3" s="258" t="s">
        <v>218</v>
      </c>
      <c r="M3" s="258" t="s">
        <v>218</v>
      </c>
      <c r="N3" s="530" t="s">
        <v>218</v>
      </c>
      <c r="O3" s="258" t="s">
        <v>218</v>
      </c>
      <c r="P3" s="530" t="s">
        <v>218</v>
      </c>
      <c r="Q3" s="258" t="s">
        <v>218</v>
      </c>
      <c r="R3" s="258" t="s">
        <v>50</v>
      </c>
      <c r="S3" s="259" t="s">
        <v>51</v>
      </c>
      <c r="T3" s="189">
        <v>36</v>
      </c>
      <c r="U3" s="191" t="s">
        <v>63</v>
      </c>
      <c r="V3" s="192" t="s">
        <v>64</v>
      </c>
      <c r="W3" s="193" t="s">
        <v>63</v>
      </c>
      <c r="X3" s="192" t="s">
        <v>64</v>
      </c>
      <c r="Y3" s="229" t="s">
        <v>996</v>
      </c>
      <c r="Z3" s="229">
        <v>0.37</v>
      </c>
      <c r="AA3" s="229">
        <v>0.48</v>
      </c>
      <c r="AB3" s="229">
        <v>738</v>
      </c>
      <c r="AC3" s="229" t="s">
        <v>661</v>
      </c>
      <c r="AD3" s="229" t="s">
        <v>65</v>
      </c>
      <c r="AE3" s="152">
        <v>1</v>
      </c>
      <c r="AF3" s="194" t="s">
        <v>82</v>
      </c>
      <c r="AG3" s="195" t="s">
        <v>65</v>
      </c>
      <c r="AH3" s="196" t="s">
        <v>83</v>
      </c>
      <c r="AI3" s="197" t="s">
        <v>104</v>
      </c>
      <c r="AJ3" s="152">
        <v>1</v>
      </c>
      <c r="AP3" s="341" t="s">
        <v>527</v>
      </c>
      <c r="AQ3" s="152" t="s">
        <v>531</v>
      </c>
      <c r="AS3" s="340" t="s">
        <v>494</v>
      </c>
      <c r="AT3" s="409" t="s">
        <v>493</v>
      </c>
      <c r="AU3" s="243" t="s">
        <v>328</v>
      </c>
      <c r="AY3" s="344" t="s">
        <v>420</v>
      </c>
    </row>
    <row r="4" spans="1:51" ht="15.75" customHeight="1" thickBot="1" x14ac:dyDescent="0.3">
      <c r="A4" s="531" t="s">
        <v>941</v>
      </c>
      <c r="B4" s="531" t="s">
        <v>941</v>
      </c>
      <c r="C4" s="200" t="s">
        <v>218</v>
      </c>
      <c r="D4" s="200" t="s">
        <v>218</v>
      </c>
      <c r="E4" s="200" t="s">
        <v>218</v>
      </c>
      <c r="F4" s="200" t="s">
        <v>218</v>
      </c>
      <c r="G4" s="200" t="s">
        <v>218</v>
      </c>
      <c r="H4" s="579" t="s">
        <v>75</v>
      </c>
      <c r="I4" s="200" t="s">
        <v>218</v>
      </c>
      <c r="J4" s="579">
        <f t="shared" ref="J4:J7" si="1">$AL$47</f>
        <v>29</v>
      </c>
      <c r="K4" s="579" t="s">
        <v>218</v>
      </c>
      <c r="L4" s="261" t="s">
        <v>218</v>
      </c>
      <c r="M4" s="261" t="s">
        <v>218</v>
      </c>
      <c r="N4" s="579" t="s">
        <v>218</v>
      </c>
      <c r="O4" s="261" t="s">
        <v>218</v>
      </c>
      <c r="P4" s="579" t="s">
        <v>218</v>
      </c>
      <c r="Q4" s="261" t="s">
        <v>218</v>
      </c>
      <c r="R4" s="261" t="s">
        <v>50</v>
      </c>
      <c r="S4" s="259" t="s">
        <v>51</v>
      </c>
      <c r="T4" s="189">
        <v>36</v>
      </c>
      <c r="U4" s="191" t="s">
        <v>63</v>
      </c>
      <c r="V4" s="192" t="s">
        <v>64</v>
      </c>
      <c r="W4" s="193" t="s">
        <v>63</v>
      </c>
      <c r="X4" s="192" t="s">
        <v>64</v>
      </c>
      <c r="Y4" s="229" t="s">
        <v>306</v>
      </c>
      <c r="Z4" s="229">
        <v>0.75</v>
      </c>
      <c r="AA4" s="229">
        <v>0.98</v>
      </c>
      <c r="AB4" s="229">
        <v>738</v>
      </c>
      <c r="AC4" s="229" t="s">
        <v>50</v>
      </c>
      <c r="AD4" s="229" t="s">
        <v>65</v>
      </c>
      <c r="AE4" s="152">
        <v>1</v>
      </c>
      <c r="AF4" s="206" t="s">
        <v>269</v>
      </c>
      <c r="AG4" s="207" t="s">
        <v>66</v>
      </c>
      <c r="AH4" s="208" t="s">
        <v>10</v>
      </c>
      <c r="AI4" s="209" t="s">
        <v>270</v>
      </c>
      <c r="AJ4" s="152">
        <v>1</v>
      </c>
      <c r="AK4" s="210" t="s">
        <v>25</v>
      </c>
      <c r="AL4" s="211" t="s">
        <v>26</v>
      </c>
      <c r="AM4" s="211" t="s">
        <v>27</v>
      </c>
      <c r="AN4" s="212" t="s">
        <v>28</v>
      </c>
      <c r="AO4" s="453"/>
      <c r="AP4" s="372" t="s">
        <v>276</v>
      </c>
      <c r="AQ4" s="372" t="s">
        <v>678</v>
      </c>
      <c r="AS4" s="340" t="s">
        <v>524</v>
      </c>
      <c r="AT4" s="409" t="s">
        <v>523</v>
      </c>
      <c r="AU4" s="303" t="s">
        <v>299</v>
      </c>
      <c r="AY4" s="344" t="s">
        <v>481</v>
      </c>
    </row>
    <row r="5" spans="1:51" ht="15.75" customHeight="1" thickBot="1" x14ac:dyDescent="0.3">
      <c r="A5" s="531" t="s">
        <v>942</v>
      </c>
      <c r="B5" s="531" t="s">
        <v>942</v>
      </c>
      <c r="C5" s="200" t="s">
        <v>218</v>
      </c>
      <c r="D5" s="200" t="s">
        <v>218</v>
      </c>
      <c r="E5" s="200" t="s">
        <v>218</v>
      </c>
      <c r="F5" s="200" t="s">
        <v>218</v>
      </c>
      <c r="G5" s="200" t="s">
        <v>218</v>
      </c>
      <c r="H5" s="579" t="s">
        <v>75</v>
      </c>
      <c r="I5" s="200" t="s">
        <v>218</v>
      </c>
      <c r="J5" s="579">
        <f t="shared" si="1"/>
        <v>29</v>
      </c>
      <c r="K5" s="579">
        <f>$AL$48</f>
        <v>33</v>
      </c>
      <c r="L5" s="261" t="s">
        <v>218</v>
      </c>
      <c r="M5" s="261" t="s">
        <v>218</v>
      </c>
      <c r="N5" s="579" t="s">
        <v>218</v>
      </c>
      <c r="O5" s="261" t="s">
        <v>218</v>
      </c>
      <c r="P5" s="579" t="s">
        <v>218</v>
      </c>
      <c r="Q5" s="261" t="s">
        <v>218</v>
      </c>
      <c r="R5" s="261" t="s">
        <v>50</v>
      </c>
      <c r="S5" s="577" t="s">
        <v>51</v>
      </c>
      <c r="T5" s="171">
        <v>36</v>
      </c>
      <c r="U5" s="203" t="s">
        <v>63</v>
      </c>
      <c r="V5" s="204" t="s">
        <v>64</v>
      </c>
      <c r="W5" s="205" t="s">
        <v>63</v>
      </c>
      <c r="X5" s="204" t="s">
        <v>64</v>
      </c>
      <c r="Y5" s="229" t="s">
        <v>307</v>
      </c>
      <c r="Z5" s="229">
        <v>0.75</v>
      </c>
      <c r="AA5" s="229">
        <v>0.98</v>
      </c>
      <c r="AB5" s="229">
        <v>738</v>
      </c>
      <c r="AC5" s="229" t="s">
        <v>50</v>
      </c>
      <c r="AD5" s="229" t="s">
        <v>65</v>
      </c>
      <c r="AE5" s="152">
        <v>1</v>
      </c>
      <c r="AH5" s="208" t="s">
        <v>11</v>
      </c>
      <c r="AI5" s="214" t="s">
        <v>277</v>
      </c>
      <c r="AJ5" s="152">
        <v>1</v>
      </c>
      <c r="AK5" s="867" t="s">
        <v>259</v>
      </c>
      <c r="AL5" s="868"/>
      <c r="AM5" s="868"/>
      <c r="AN5" s="869"/>
      <c r="AO5" s="454"/>
      <c r="AP5" s="341" t="s">
        <v>529</v>
      </c>
      <c r="AQ5" s="152" t="s">
        <v>578</v>
      </c>
      <c r="AS5" s="340" t="s">
        <v>522</v>
      </c>
      <c r="AT5" s="409" t="s">
        <v>521</v>
      </c>
      <c r="AU5" s="303" t="s">
        <v>300</v>
      </c>
      <c r="AV5" s="341"/>
      <c r="AY5" s="344" t="s">
        <v>495</v>
      </c>
    </row>
    <row r="6" spans="1:51" ht="15.75" customHeight="1" x14ac:dyDescent="0.25">
      <c r="A6" s="531" t="s">
        <v>943</v>
      </c>
      <c r="B6" s="531" t="s">
        <v>943</v>
      </c>
      <c r="C6" s="200" t="s">
        <v>218</v>
      </c>
      <c r="D6" s="200" t="s">
        <v>218</v>
      </c>
      <c r="E6" s="200" t="s">
        <v>218</v>
      </c>
      <c r="F6" s="200" t="s">
        <v>218</v>
      </c>
      <c r="G6" s="200" t="s">
        <v>218</v>
      </c>
      <c r="H6" s="579" t="s">
        <v>75</v>
      </c>
      <c r="I6" s="200" t="s">
        <v>218</v>
      </c>
      <c r="J6" s="579">
        <f t="shared" si="1"/>
        <v>29</v>
      </c>
      <c r="K6" s="579">
        <f t="shared" ref="K6:K7" si="2">$AL$48</f>
        <v>33</v>
      </c>
      <c r="L6" s="261" t="s">
        <v>218</v>
      </c>
      <c r="M6" s="261" t="s">
        <v>218</v>
      </c>
      <c r="N6" s="579" t="s">
        <v>218</v>
      </c>
      <c r="O6" s="261" t="s">
        <v>218</v>
      </c>
      <c r="P6" s="579" t="s">
        <v>218</v>
      </c>
      <c r="Q6" s="261" t="s">
        <v>218</v>
      </c>
      <c r="R6" s="261" t="s">
        <v>50</v>
      </c>
      <c r="S6" s="577" t="s">
        <v>52</v>
      </c>
      <c r="T6" s="171">
        <v>36</v>
      </c>
      <c r="U6" s="203" t="s">
        <v>63</v>
      </c>
      <c r="V6" s="204" t="s">
        <v>64</v>
      </c>
      <c r="W6" s="205" t="s">
        <v>63</v>
      </c>
      <c r="X6" s="204" t="s">
        <v>64</v>
      </c>
      <c r="Y6" s="229" t="s">
        <v>924</v>
      </c>
      <c r="Z6" s="229">
        <v>0.75</v>
      </c>
      <c r="AA6" s="229">
        <v>0.98</v>
      </c>
      <c r="AB6" s="229">
        <v>738</v>
      </c>
      <c r="AC6" s="229" t="s">
        <v>50</v>
      </c>
      <c r="AD6" s="229" t="s">
        <v>65</v>
      </c>
      <c r="AE6" s="152">
        <v>1</v>
      </c>
      <c r="AH6" s="216" t="s">
        <v>96</v>
      </c>
      <c r="AI6" s="217" t="s">
        <v>278</v>
      </c>
      <c r="AJ6" s="152">
        <v>1</v>
      </c>
      <c r="AK6" s="218">
        <v>10</v>
      </c>
      <c r="AL6" s="219">
        <v>6.56</v>
      </c>
      <c r="AM6" s="219">
        <v>6.79</v>
      </c>
      <c r="AN6" s="220">
        <v>7.12</v>
      </c>
      <c r="AO6" s="451"/>
      <c r="AP6" s="341" t="s">
        <v>694</v>
      </c>
      <c r="AQ6" s="152" t="s">
        <v>545</v>
      </c>
      <c r="AS6" s="340" t="s">
        <v>526</v>
      </c>
      <c r="AT6" s="409" t="s">
        <v>525</v>
      </c>
      <c r="AU6" s="303" t="s">
        <v>301</v>
      </c>
      <c r="AY6" s="344" t="s">
        <v>500</v>
      </c>
    </row>
    <row r="7" spans="1:51" ht="15.75" customHeight="1" x14ac:dyDescent="0.25">
      <c r="A7" s="531" t="s">
        <v>944</v>
      </c>
      <c r="B7" s="531" t="s">
        <v>944</v>
      </c>
      <c r="C7" s="200" t="s">
        <v>218</v>
      </c>
      <c r="D7" s="200" t="s">
        <v>218</v>
      </c>
      <c r="E7" s="200" t="s">
        <v>218</v>
      </c>
      <c r="F7" s="200" t="s">
        <v>218</v>
      </c>
      <c r="G7" s="200" t="s">
        <v>218</v>
      </c>
      <c r="H7" s="579" t="s">
        <v>75</v>
      </c>
      <c r="I7" s="200" t="s">
        <v>218</v>
      </c>
      <c r="J7" s="579">
        <f t="shared" si="1"/>
        <v>29</v>
      </c>
      <c r="K7" s="579">
        <f t="shared" si="2"/>
        <v>33</v>
      </c>
      <c r="L7" s="261" t="s">
        <v>218</v>
      </c>
      <c r="M7" s="261" t="s">
        <v>218</v>
      </c>
      <c r="N7" s="579" t="s">
        <v>218</v>
      </c>
      <c r="O7" s="261" t="s">
        <v>218</v>
      </c>
      <c r="P7" s="579" t="s">
        <v>218</v>
      </c>
      <c r="Q7" s="261" t="s">
        <v>218</v>
      </c>
      <c r="R7" s="261" t="s">
        <v>50</v>
      </c>
      <c r="S7" s="577" t="s">
        <v>52</v>
      </c>
      <c r="T7" s="171">
        <v>36</v>
      </c>
      <c r="U7" s="203" t="s">
        <v>63</v>
      </c>
      <c r="V7" s="204" t="s">
        <v>64</v>
      </c>
      <c r="W7" s="205" t="s">
        <v>63</v>
      </c>
      <c r="X7" s="204" t="s">
        <v>64</v>
      </c>
      <c r="Y7" s="229" t="s">
        <v>201</v>
      </c>
      <c r="Z7" s="229">
        <v>0.37</v>
      </c>
      <c r="AA7" s="229">
        <v>0.48</v>
      </c>
      <c r="AB7" s="229">
        <v>738</v>
      </c>
      <c r="AC7" s="229" t="s">
        <v>50</v>
      </c>
      <c r="AD7" s="229" t="s">
        <v>65</v>
      </c>
      <c r="AE7" s="152">
        <v>1</v>
      </c>
      <c r="AH7" s="216" t="s">
        <v>97</v>
      </c>
      <c r="AI7" s="217" t="s">
        <v>279</v>
      </c>
      <c r="AJ7" s="152">
        <v>1</v>
      </c>
      <c r="AK7" s="221">
        <v>16</v>
      </c>
      <c r="AL7" s="222">
        <v>7.39</v>
      </c>
      <c r="AM7" s="222">
        <v>7.62</v>
      </c>
      <c r="AN7" s="223">
        <v>7.96</v>
      </c>
      <c r="AO7" s="451"/>
      <c r="AP7" s="341" t="s">
        <v>570</v>
      </c>
      <c r="AQ7" s="152" t="s">
        <v>569</v>
      </c>
      <c r="AS7" s="340" t="s">
        <v>488</v>
      </c>
      <c r="AT7" s="409" t="s">
        <v>487</v>
      </c>
      <c r="AU7" s="303" t="s">
        <v>200</v>
      </c>
      <c r="AY7" s="344" t="s">
        <v>433</v>
      </c>
    </row>
    <row r="8" spans="1:51" ht="15.75" customHeight="1" thickBot="1" x14ac:dyDescent="0.3">
      <c r="A8" s="199" t="s">
        <v>234</v>
      </c>
      <c r="B8" s="199" t="s">
        <v>234</v>
      </c>
      <c r="C8" s="200" t="s">
        <v>218</v>
      </c>
      <c r="D8" s="573">
        <f>AL6</f>
        <v>6.56</v>
      </c>
      <c r="E8" s="573">
        <f>AL7</f>
        <v>7.39</v>
      </c>
      <c r="F8" s="200">
        <v>8</v>
      </c>
      <c r="G8" s="200" t="s">
        <v>218</v>
      </c>
      <c r="H8" s="579" t="s">
        <v>75</v>
      </c>
      <c r="I8" s="200" t="s">
        <v>218</v>
      </c>
      <c r="J8" s="579">
        <f>$AL$43</f>
        <v>23.25</v>
      </c>
      <c r="K8" s="579" t="s">
        <v>218</v>
      </c>
      <c r="L8" s="261">
        <f>$AL$45</f>
        <v>31.5</v>
      </c>
      <c r="M8" s="261" t="s">
        <v>218</v>
      </c>
      <c r="N8" s="579" t="s">
        <v>218</v>
      </c>
      <c r="O8" s="261" t="s">
        <v>218</v>
      </c>
      <c r="P8" s="579" t="s">
        <v>218</v>
      </c>
      <c r="Q8" s="261" t="s">
        <v>218</v>
      </c>
      <c r="R8" s="261" t="s">
        <v>50</v>
      </c>
      <c r="S8" s="577" t="s">
        <v>52</v>
      </c>
      <c r="T8" s="171">
        <v>36</v>
      </c>
      <c r="U8" s="203" t="s">
        <v>63</v>
      </c>
      <c r="V8" s="204" t="s">
        <v>64</v>
      </c>
      <c r="W8" s="205" t="s">
        <v>63</v>
      </c>
      <c r="X8" s="204" t="s">
        <v>64</v>
      </c>
      <c r="Y8" s="229" t="s">
        <v>203</v>
      </c>
      <c r="Z8" s="229">
        <v>0.37</v>
      </c>
      <c r="AA8" s="229">
        <v>0.48</v>
      </c>
      <c r="AB8" s="229">
        <v>738</v>
      </c>
      <c r="AC8" s="229" t="s">
        <v>50</v>
      </c>
      <c r="AD8" s="229" t="s">
        <v>65</v>
      </c>
      <c r="AE8" s="152">
        <v>1</v>
      </c>
      <c r="AH8" s="224" t="s">
        <v>326</v>
      </c>
      <c r="AI8" s="217" t="s">
        <v>280</v>
      </c>
      <c r="AJ8" s="152">
        <v>1</v>
      </c>
      <c r="AK8" s="225">
        <v>18</v>
      </c>
      <c r="AL8" s="226">
        <v>8.25</v>
      </c>
      <c r="AM8" s="226">
        <v>8.75</v>
      </c>
      <c r="AN8" s="227">
        <v>9</v>
      </c>
      <c r="AO8" s="451"/>
      <c r="AP8" s="341" t="s">
        <v>610</v>
      </c>
      <c r="AQ8" s="152" t="s">
        <v>609</v>
      </c>
      <c r="AS8" s="340" t="s">
        <v>514</v>
      </c>
      <c r="AT8" s="409" t="s">
        <v>513</v>
      </c>
      <c r="AU8" s="303" t="s">
        <v>202</v>
      </c>
      <c r="AY8" s="344" t="s">
        <v>417</v>
      </c>
    </row>
    <row r="9" spans="1:51" ht="15.75" customHeight="1" thickBot="1" x14ac:dyDescent="0.3">
      <c r="A9" s="199" t="s">
        <v>913</v>
      </c>
      <c r="B9" s="199" t="s">
        <v>913</v>
      </c>
      <c r="C9" s="200" t="s">
        <v>218</v>
      </c>
      <c r="D9" s="573">
        <f>AL6</f>
        <v>6.56</v>
      </c>
      <c r="E9" s="573">
        <f>AL7</f>
        <v>7.39</v>
      </c>
      <c r="F9" s="200">
        <f>$AL$8</f>
        <v>8.25</v>
      </c>
      <c r="G9" s="200" t="s">
        <v>218</v>
      </c>
      <c r="H9" s="579" t="s">
        <v>75</v>
      </c>
      <c r="I9" s="200" t="s">
        <v>218</v>
      </c>
      <c r="J9" s="579">
        <f>$AL$43</f>
        <v>23.25</v>
      </c>
      <c r="K9" s="579" t="s">
        <v>218</v>
      </c>
      <c r="L9" s="261" t="s">
        <v>218</v>
      </c>
      <c r="M9" s="261" t="s">
        <v>218</v>
      </c>
      <c r="N9" s="579" t="s">
        <v>218</v>
      </c>
      <c r="O9" s="261" t="s">
        <v>218</v>
      </c>
      <c r="P9" s="579" t="s">
        <v>218</v>
      </c>
      <c r="Q9" s="261" t="s">
        <v>218</v>
      </c>
      <c r="R9" s="261" t="s">
        <v>50</v>
      </c>
      <c r="S9" s="577" t="s">
        <v>53</v>
      </c>
      <c r="T9" s="171">
        <v>36</v>
      </c>
      <c r="U9" s="203" t="s">
        <v>63</v>
      </c>
      <c r="V9" s="204" t="s">
        <v>64</v>
      </c>
      <c r="W9" s="205" t="s">
        <v>63</v>
      </c>
      <c r="X9" s="204" t="s">
        <v>64</v>
      </c>
      <c r="Y9" s="229" t="s">
        <v>204</v>
      </c>
      <c r="Z9" s="229">
        <v>0.37</v>
      </c>
      <c r="AA9" s="229">
        <v>0.48</v>
      </c>
      <c r="AB9" s="229">
        <v>738</v>
      </c>
      <c r="AC9" s="229" t="s">
        <v>50</v>
      </c>
      <c r="AD9" s="229" t="s">
        <v>65</v>
      </c>
      <c r="AE9" s="152">
        <v>1</v>
      </c>
      <c r="AF9" s="373"/>
      <c r="AG9" s="373"/>
      <c r="AH9" s="411" t="s">
        <v>271</v>
      </c>
      <c r="AI9" s="412" t="s">
        <v>281</v>
      </c>
      <c r="AJ9" s="373">
        <v>1</v>
      </c>
      <c r="AK9" s="882" t="s">
        <v>260</v>
      </c>
      <c r="AL9" s="883"/>
      <c r="AM9" s="883"/>
      <c r="AN9" s="884"/>
      <c r="AO9" s="454"/>
      <c r="AP9" s="413" t="s">
        <v>528</v>
      </c>
      <c r="AQ9" s="373" t="s">
        <v>535</v>
      </c>
      <c r="AR9" s="373"/>
      <c r="AS9" s="373" t="s">
        <v>701</v>
      </c>
      <c r="AT9" s="414">
        <v>101010101000001</v>
      </c>
      <c r="AU9" s="410" t="s">
        <v>188</v>
      </c>
      <c r="AY9" s="344" t="s">
        <v>366</v>
      </c>
    </row>
    <row r="10" spans="1:51" ht="15.75" customHeight="1" x14ac:dyDescent="0.25">
      <c r="A10" s="342" t="s">
        <v>276</v>
      </c>
      <c r="B10" s="342" t="s">
        <v>276</v>
      </c>
      <c r="C10" s="200" t="s">
        <v>218</v>
      </c>
      <c r="D10" s="200" t="s">
        <v>218</v>
      </c>
      <c r="E10" s="200" t="s">
        <v>218</v>
      </c>
      <c r="F10" s="200">
        <v>9</v>
      </c>
      <c r="G10" s="200" t="s">
        <v>218</v>
      </c>
      <c r="H10" s="579" t="s">
        <v>75</v>
      </c>
      <c r="I10" s="200">
        <v>25.5</v>
      </c>
      <c r="J10" s="579" t="s">
        <v>218</v>
      </c>
      <c r="K10" s="579" t="s">
        <v>218</v>
      </c>
      <c r="L10" s="261" t="s">
        <v>218</v>
      </c>
      <c r="M10" s="261" t="s">
        <v>218</v>
      </c>
      <c r="N10" s="579" t="s">
        <v>218</v>
      </c>
      <c r="O10" s="261" t="s">
        <v>218</v>
      </c>
      <c r="P10" s="579" t="s">
        <v>218</v>
      </c>
      <c r="Q10" s="261" t="s">
        <v>218</v>
      </c>
      <c r="R10" s="261" t="s">
        <v>50</v>
      </c>
      <c r="S10" s="577" t="s">
        <v>52</v>
      </c>
      <c r="T10" s="171">
        <v>36</v>
      </c>
      <c r="U10" s="203" t="s">
        <v>63</v>
      </c>
      <c r="V10" s="204" t="s">
        <v>64</v>
      </c>
      <c r="W10" s="205" t="s">
        <v>63</v>
      </c>
      <c r="X10" s="204" t="s">
        <v>64</v>
      </c>
      <c r="Y10" s="229" t="s">
        <v>914</v>
      </c>
      <c r="Z10" s="229">
        <v>0.37</v>
      </c>
      <c r="AA10" s="229">
        <v>0.48</v>
      </c>
      <c r="AB10" s="229">
        <v>738</v>
      </c>
      <c r="AC10" s="229" t="s">
        <v>50</v>
      </c>
      <c r="AD10" s="229" t="s">
        <v>65</v>
      </c>
      <c r="AE10" s="392">
        <v>1</v>
      </c>
      <c r="AH10" s="430" t="s">
        <v>919</v>
      </c>
      <c r="AJ10" s="152">
        <v>1</v>
      </c>
      <c r="AK10" s="218">
        <v>10</v>
      </c>
      <c r="AL10" s="219">
        <v>7.16</v>
      </c>
      <c r="AM10" s="219">
        <v>7.52</v>
      </c>
      <c r="AN10" s="220">
        <v>7.78</v>
      </c>
      <c r="AO10" s="451"/>
      <c r="AP10" s="341" t="s">
        <v>993</v>
      </c>
      <c r="AQ10" s="152" t="s">
        <v>536</v>
      </c>
      <c r="AS10" s="340" t="s">
        <v>480</v>
      </c>
      <c r="AT10" s="409" t="s">
        <v>479</v>
      </c>
      <c r="AU10" s="303" t="s">
        <v>298</v>
      </c>
      <c r="AY10" s="344" t="s">
        <v>361</v>
      </c>
    </row>
    <row r="11" spans="1:51" ht="15.75" customHeight="1" x14ac:dyDescent="0.25">
      <c r="A11" s="199" t="s">
        <v>264</v>
      </c>
      <c r="B11" s="213" t="s">
        <v>264</v>
      </c>
      <c r="C11" s="200" t="s">
        <v>218</v>
      </c>
      <c r="D11" s="574">
        <f>AM6</f>
        <v>6.79</v>
      </c>
      <c r="E11" s="574">
        <f>AM7</f>
        <v>7.62</v>
      </c>
      <c r="F11" s="200">
        <f>AL8</f>
        <v>8.25</v>
      </c>
      <c r="G11" s="200" t="s">
        <v>218</v>
      </c>
      <c r="H11" s="579" t="s">
        <v>75</v>
      </c>
      <c r="I11" s="200" t="s">
        <v>218</v>
      </c>
      <c r="J11" s="579">
        <f t="shared" ref="J11:J23" si="3">$AL$43</f>
        <v>23.25</v>
      </c>
      <c r="K11" s="579" t="s">
        <v>218</v>
      </c>
      <c r="L11" s="261" t="s">
        <v>218</v>
      </c>
      <c r="M11" s="261" t="s">
        <v>218</v>
      </c>
      <c r="N11" s="579" t="s">
        <v>218</v>
      </c>
      <c r="O11" s="261" t="s">
        <v>218</v>
      </c>
      <c r="P11" s="579" t="s">
        <v>218</v>
      </c>
      <c r="Q11" s="261" t="s">
        <v>218</v>
      </c>
      <c r="R11" s="261" t="s">
        <v>50</v>
      </c>
      <c r="S11" s="577" t="s">
        <v>51</v>
      </c>
      <c r="T11" s="171">
        <v>36</v>
      </c>
      <c r="U11" s="203" t="s">
        <v>63</v>
      </c>
      <c r="V11" s="204" t="s">
        <v>64</v>
      </c>
      <c r="W11" s="205" t="s">
        <v>63</v>
      </c>
      <c r="X11" s="204" t="s">
        <v>64</v>
      </c>
      <c r="Y11" s="229" t="s">
        <v>195</v>
      </c>
      <c r="Z11" s="229">
        <v>0.37</v>
      </c>
      <c r="AA11" s="229">
        <v>0.48</v>
      </c>
      <c r="AB11" s="229">
        <v>738</v>
      </c>
      <c r="AC11" s="229" t="s">
        <v>50</v>
      </c>
      <c r="AD11" s="229" t="s">
        <v>65</v>
      </c>
      <c r="AE11" s="152">
        <v>1</v>
      </c>
      <c r="AH11" s="430" t="s">
        <v>920</v>
      </c>
      <c r="AJ11" s="152">
        <v>1</v>
      </c>
      <c r="AK11" s="221">
        <v>16</v>
      </c>
      <c r="AL11" s="222">
        <v>8.0500000000000007</v>
      </c>
      <c r="AM11" s="222">
        <v>8.3000000000000007</v>
      </c>
      <c r="AN11" s="223">
        <v>8.67</v>
      </c>
      <c r="AO11" s="451"/>
      <c r="AP11" s="341" t="s">
        <v>580</v>
      </c>
      <c r="AQ11" s="152" t="s">
        <v>579</v>
      </c>
      <c r="AS11" s="373" t="s">
        <v>701</v>
      </c>
      <c r="AT11" s="414">
        <v>101010101000001</v>
      </c>
      <c r="AU11" s="410" t="s">
        <v>190</v>
      </c>
      <c r="AV11" s="341"/>
      <c r="AY11" s="344" t="s">
        <v>994</v>
      </c>
    </row>
    <row r="12" spans="1:51" ht="15.75" customHeight="1" thickBot="1" x14ac:dyDescent="0.3">
      <c r="A12" s="199" t="s">
        <v>265</v>
      </c>
      <c r="B12" s="199" t="s">
        <v>265</v>
      </c>
      <c r="C12" s="200" t="s">
        <v>218</v>
      </c>
      <c r="D12" s="573">
        <f>AM6</f>
        <v>6.79</v>
      </c>
      <c r="E12" s="573">
        <f>AM7</f>
        <v>7.62</v>
      </c>
      <c r="F12" s="200">
        <f>AL$8</f>
        <v>8.25</v>
      </c>
      <c r="G12" s="200" t="s">
        <v>218</v>
      </c>
      <c r="H12" s="579" t="s">
        <v>75</v>
      </c>
      <c r="I12" s="200" t="s">
        <v>218</v>
      </c>
      <c r="J12" s="579">
        <f t="shared" si="3"/>
        <v>23.25</v>
      </c>
      <c r="K12" s="579" t="s">
        <v>218</v>
      </c>
      <c r="L12" s="261" t="s">
        <v>218</v>
      </c>
      <c r="M12" s="261" t="s">
        <v>218</v>
      </c>
      <c r="N12" s="579" t="s">
        <v>218</v>
      </c>
      <c r="O12" s="261" t="s">
        <v>218</v>
      </c>
      <c r="P12" s="579" t="s">
        <v>218</v>
      </c>
      <c r="Q12" s="261" t="s">
        <v>218</v>
      </c>
      <c r="R12" s="261" t="s">
        <v>50</v>
      </c>
      <c r="S12" s="581" t="s">
        <v>52</v>
      </c>
      <c r="T12" s="387">
        <v>36</v>
      </c>
      <c r="U12" s="388" t="s">
        <v>63</v>
      </c>
      <c r="V12" s="389" t="s">
        <v>64</v>
      </c>
      <c r="W12" s="390" t="s">
        <v>63</v>
      </c>
      <c r="X12" s="389" t="s">
        <v>64</v>
      </c>
      <c r="Y12" s="229" t="s">
        <v>917</v>
      </c>
      <c r="Z12" s="229">
        <v>0.37</v>
      </c>
      <c r="AA12" s="229">
        <v>0.48</v>
      </c>
      <c r="AB12" s="229">
        <v>738</v>
      </c>
      <c r="AC12" s="229" t="s">
        <v>50</v>
      </c>
      <c r="AD12" s="229" t="s">
        <v>65</v>
      </c>
      <c r="AE12" s="152">
        <v>1</v>
      </c>
      <c r="AF12" s="392"/>
      <c r="AG12" s="392"/>
      <c r="AH12" s="430" t="s">
        <v>732</v>
      </c>
      <c r="AI12" s="392"/>
      <c r="AJ12" s="392">
        <v>1</v>
      </c>
      <c r="AK12" s="393">
        <v>18</v>
      </c>
      <c r="AL12" s="226">
        <v>8.25</v>
      </c>
      <c r="AM12" s="226">
        <v>8.75</v>
      </c>
      <c r="AN12" s="227">
        <v>9</v>
      </c>
      <c r="AO12" s="452"/>
      <c r="AP12" s="392" t="s">
        <v>693</v>
      </c>
      <c r="AQ12" s="392" t="s">
        <v>692</v>
      </c>
      <c r="AS12" s="340" t="s">
        <v>516</v>
      </c>
      <c r="AT12" s="409" t="s">
        <v>515</v>
      </c>
      <c r="AU12" s="391" t="s">
        <v>194</v>
      </c>
      <c r="AV12" s="341"/>
      <c r="AY12" s="344" t="s">
        <v>358</v>
      </c>
    </row>
    <row r="13" spans="1:51" ht="15.75" customHeight="1" thickBot="1" x14ac:dyDescent="0.3">
      <c r="A13" s="199" t="s">
        <v>266</v>
      </c>
      <c r="B13" s="199" t="s">
        <v>266</v>
      </c>
      <c r="C13" s="200" t="s">
        <v>218</v>
      </c>
      <c r="D13" s="573">
        <f>AM6</f>
        <v>6.79</v>
      </c>
      <c r="E13" s="573">
        <f>AM7</f>
        <v>7.62</v>
      </c>
      <c r="F13" s="200">
        <f>AL$8</f>
        <v>8.25</v>
      </c>
      <c r="G13" s="200" t="s">
        <v>218</v>
      </c>
      <c r="H13" s="579" t="s">
        <v>75</v>
      </c>
      <c r="I13" s="200" t="s">
        <v>218</v>
      </c>
      <c r="J13" s="579">
        <f t="shared" si="3"/>
        <v>23.25</v>
      </c>
      <c r="K13" s="579" t="s">
        <v>218</v>
      </c>
      <c r="L13" s="261" t="s">
        <v>218</v>
      </c>
      <c r="M13" s="261" t="s">
        <v>218</v>
      </c>
      <c r="N13" s="579" t="s">
        <v>218</v>
      </c>
      <c r="O13" s="261" t="s">
        <v>218</v>
      </c>
      <c r="P13" s="579" t="s">
        <v>218</v>
      </c>
      <c r="Q13" s="261" t="s">
        <v>218</v>
      </c>
      <c r="R13" s="261" t="s">
        <v>50</v>
      </c>
      <c r="S13" s="577" t="s">
        <v>52</v>
      </c>
      <c r="T13" s="171">
        <v>36</v>
      </c>
      <c r="U13" s="203" t="s">
        <v>63</v>
      </c>
      <c r="V13" s="204" t="s">
        <v>64</v>
      </c>
      <c r="W13" s="205" t="s">
        <v>63</v>
      </c>
      <c r="X13" s="204" t="s">
        <v>64</v>
      </c>
      <c r="Y13" s="229" t="s">
        <v>918</v>
      </c>
      <c r="Z13" s="229">
        <v>0.37</v>
      </c>
      <c r="AA13" s="229">
        <v>0.48</v>
      </c>
      <c r="AB13" s="229">
        <v>738</v>
      </c>
      <c r="AC13" s="229" t="s">
        <v>50</v>
      </c>
      <c r="AD13" s="229" t="s">
        <v>65</v>
      </c>
      <c r="AE13" s="152">
        <v>1</v>
      </c>
      <c r="AH13" s="430" t="s">
        <v>733</v>
      </c>
      <c r="AJ13" s="152">
        <v>1</v>
      </c>
      <c r="AK13" s="867" t="s">
        <v>261</v>
      </c>
      <c r="AL13" s="868"/>
      <c r="AM13" s="868"/>
      <c r="AN13" s="869"/>
      <c r="AO13" s="454"/>
      <c r="AP13" s="341" t="s">
        <v>584</v>
      </c>
      <c r="AQ13" s="152" t="s">
        <v>583</v>
      </c>
      <c r="AS13" s="340" t="s">
        <v>506</v>
      </c>
      <c r="AT13" s="409" t="s">
        <v>505</v>
      </c>
      <c r="AU13" s="229" t="s">
        <v>178</v>
      </c>
      <c r="AY13" s="344" t="s">
        <v>449</v>
      </c>
    </row>
    <row r="14" spans="1:51" ht="15.75" customHeight="1" x14ac:dyDescent="0.25">
      <c r="A14" s="199" t="s">
        <v>258</v>
      </c>
      <c r="B14" s="199" t="s">
        <v>258</v>
      </c>
      <c r="C14" s="200" t="s">
        <v>218</v>
      </c>
      <c r="D14" s="573">
        <f>AN6</f>
        <v>7.12</v>
      </c>
      <c r="E14" s="573">
        <f>AN7</f>
        <v>7.96</v>
      </c>
      <c r="F14" s="200">
        <f>AM$8</f>
        <v>8.75</v>
      </c>
      <c r="G14" s="200" t="s">
        <v>218</v>
      </c>
      <c r="H14" s="579" t="s">
        <v>75</v>
      </c>
      <c r="I14" s="200" t="s">
        <v>218</v>
      </c>
      <c r="J14" s="579">
        <f t="shared" si="3"/>
        <v>23.25</v>
      </c>
      <c r="K14" s="579" t="s">
        <v>218</v>
      </c>
      <c r="L14" s="261" t="s">
        <v>218</v>
      </c>
      <c r="M14" s="261" t="s">
        <v>218</v>
      </c>
      <c r="N14" s="579" t="s">
        <v>218</v>
      </c>
      <c r="O14" s="261" t="s">
        <v>218</v>
      </c>
      <c r="P14" s="579" t="s">
        <v>218</v>
      </c>
      <c r="Q14" s="261" t="s">
        <v>218</v>
      </c>
      <c r="R14" s="261" t="s">
        <v>50</v>
      </c>
      <c r="S14" s="577" t="s">
        <v>52</v>
      </c>
      <c r="T14" s="171">
        <v>36</v>
      </c>
      <c r="U14" s="203" t="s">
        <v>63</v>
      </c>
      <c r="V14" s="204" t="s">
        <v>64</v>
      </c>
      <c r="W14" s="205" t="s">
        <v>63</v>
      </c>
      <c r="X14" s="204" t="s">
        <v>64</v>
      </c>
      <c r="Y14" s="229" t="s">
        <v>177</v>
      </c>
      <c r="Z14" s="229">
        <v>0.75</v>
      </c>
      <c r="AA14" s="229">
        <v>0.98</v>
      </c>
      <c r="AB14" s="229">
        <v>738</v>
      </c>
      <c r="AC14" s="229" t="s">
        <v>50</v>
      </c>
      <c r="AD14" s="229" t="s">
        <v>65</v>
      </c>
      <c r="AE14" s="152">
        <v>1</v>
      </c>
      <c r="AH14" s="430" t="s">
        <v>734</v>
      </c>
      <c r="AJ14" s="152">
        <v>1</v>
      </c>
      <c r="AK14" s="230">
        <v>8</v>
      </c>
      <c r="AL14" s="231">
        <v>6.75</v>
      </c>
      <c r="AM14" s="231">
        <v>7</v>
      </c>
      <c r="AN14" s="232">
        <v>7.09</v>
      </c>
      <c r="AO14" s="451"/>
      <c r="AP14" s="341" t="s">
        <v>556</v>
      </c>
      <c r="AQ14" s="152" t="s">
        <v>555</v>
      </c>
      <c r="AS14" s="343" t="s">
        <v>703</v>
      </c>
      <c r="AT14" s="409" t="s">
        <v>702</v>
      </c>
      <c r="AU14" s="229" t="s">
        <v>172</v>
      </c>
      <c r="AY14" s="344" t="s">
        <v>464</v>
      </c>
    </row>
    <row r="15" spans="1:51" ht="15.75" customHeight="1" x14ac:dyDescent="0.25">
      <c r="A15" s="199" t="s">
        <v>235</v>
      </c>
      <c r="B15" s="199" t="s">
        <v>235</v>
      </c>
      <c r="C15" s="201" t="s">
        <v>218</v>
      </c>
      <c r="D15" s="215">
        <f>AM6</f>
        <v>6.79</v>
      </c>
      <c r="E15" s="573">
        <f>AM7</f>
        <v>7.62</v>
      </c>
      <c r="F15" s="534">
        <f>AL$8</f>
        <v>8.25</v>
      </c>
      <c r="G15" s="200" t="s">
        <v>218</v>
      </c>
      <c r="H15" s="579" t="s">
        <v>75</v>
      </c>
      <c r="I15" s="572" t="s">
        <v>218</v>
      </c>
      <c r="J15" s="579">
        <f t="shared" si="3"/>
        <v>23.25</v>
      </c>
      <c r="K15" s="579" t="s">
        <v>218</v>
      </c>
      <c r="L15" s="261">
        <f>$AL$45</f>
        <v>31.5</v>
      </c>
      <c r="M15" s="261" t="s">
        <v>218</v>
      </c>
      <c r="N15" s="579" t="s">
        <v>218</v>
      </c>
      <c r="O15" s="261" t="s">
        <v>218</v>
      </c>
      <c r="P15" s="579" t="s">
        <v>218</v>
      </c>
      <c r="Q15" s="261" t="s">
        <v>218</v>
      </c>
      <c r="R15" s="261" t="s">
        <v>50</v>
      </c>
      <c r="S15" s="577" t="s">
        <v>51</v>
      </c>
      <c r="T15" s="171">
        <v>36</v>
      </c>
      <c r="U15" s="203" t="s">
        <v>63</v>
      </c>
      <c r="V15" s="204" t="s">
        <v>64</v>
      </c>
      <c r="W15" s="205" t="s">
        <v>63</v>
      </c>
      <c r="X15" s="204" t="s">
        <v>64</v>
      </c>
      <c r="Y15" s="229" t="s">
        <v>285</v>
      </c>
      <c r="Z15" s="229">
        <v>0.37</v>
      </c>
      <c r="AA15" s="229">
        <v>0.48</v>
      </c>
      <c r="AB15" s="229">
        <v>738</v>
      </c>
      <c r="AC15" s="229" t="s">
        <v>50</v>
      </c>
      <c r="AD15" s="229" t="s">
        <v>65</v>
      </c>
      <c r="AE15" s="152">
        <v>1</v>
      </c>
      <c r="AJ15" s="152">
        <v>1</v>
      </c>
      <c r="AK15" s="221">
        <v>10</v>
      </c>
      <c r="AL15" s="222">
        <v>6.85</v>
      </c>
      <c r="AM15" s="222">
        <v>7.09</v>
      </c>
      <c r="AN15" s="223">
        <v>7.44</v>
      </c>
      <c r="AO15" s="451"/>
      <c r="AP15" s="341" t="s">
        <v>532</v>
      </c>
      <c r="AQ15" s="152" t="s">
        <v>345</v>
      </c>
      <c r="AS15" s="340" t="s">
        <v>499</v>
      </c>
      <c r="AT15" s="409" t="s">
        <v>498</v>
      </c>
      <c r="AU15" s="229" t="s">
        <v>176</v>
      </c>
    </row>
    <row r="16" spans="1:51" ht="15.75" customHeight="1" x14ac:dyDescent="0.25">
      <c r="A16" s="199" t="s">
        <v>991</v>
      </c>
      <c r="B16" s="199" t="s">
        <v>991</v>
      </c>
      <c r="C16" s="201" t="s">
        <v>218</v>
      </c>
      <c r="D16" s="215">
        <f>AL6</f>
        <v>6.56</v>
      </c>
      <c r="E16" s="573">
        <f>AL7</f>
        <v>7.39</v>
      </c>
      <c r="F16" s="534">
        <f>$AL$8</f>
        <v>8.25</v>
      </c>
      <c r="G16" s="200" t="s">
        <v>218</v>
      </c>
      <c r="H16" s="579" t="s">
        <v>75</v>
      </c>
      <c r="I16" s="572" t="s">
        <v>218</v>
      </c>
      <c r="J16" s="579">
        <f t="shared" si="3"/>
        <v>23.25</v>
      </c>
      <c r="K16" s="579" t="s">
        <v>218</v>
      </c>
      <c r="L16" s="261" t="s">
        <v>218</v>
      </c>
      <c r="M16" s="261" t="s">
        <v>218</v>
      </c>
      <c r="N16" s="579" t="s">
        <v>218</v>
      </c>
      <c r="O16" s="261" t="s">
        <v>218</v>
      </c>
      <c r="P16" s="579" t="s">
        <v>218</v>
      </c>
      <c r="Q16" s="261" t="s">
        <v>218</v>
      </c>
      <c r="R16" s="261" t="s">
        <v>50</v>
      </c>
      <c r="S16" s="577" t="s">
        <v>52</v>
      </c>
      <c r="T16" s="171">
        <v>36</v>
      </c>
      <c r="U16" s="233" t="s">
        <v>64</v>
      </c>
      <c r="V16" s="205" t="s">
        <v>63</v>
      </c>
      <c r="W16" s="204" t="s">
        <v>64</v>
      </c>
      <c r="X16" s="205" t="s">
        <v>63</v>
      </c>
      <c r="Y16" s="229" t="s">
        <v>310</v>
      </c>
      <c r="Z16" s="229">
        <v>0.37</v>
      </c>
      <c r="AA16" s="229">
        <v>0.48</v>
      </c>
      <c r="AB16" s="229">
        <v>738</v>
      </c>
      <c r="AC16" s="229" t="s">
        <v>50</v>
      </c>
      <c r="AD16" s="229" t="s">
        <v>65</v>
      </c>
      <c r="AE16" s="152">
        <v>1</v>
      </c>
      <c r="AJ16" s="152">
        <v>1</v>
      </c>
      <c r="AK16" s="221">
        <v>16</v>
      </c>
      <c r="AL16" s="222">
        <v>7.71</v>
      </c>
      <c r="AM16" s="222">
        <v>7.95</v>
      </c>
      <c r="AN16" s="223">
        <v>8.3000000000000007</v>
      </c>
      <c r="AO16" s="451"/>
      <c r="AP16" s="341" t="s">
        <v>534</v>
      </c>
      <c r="AQ16" s="152" t="s">
        <v>533</v>
      </c>
      <c r="AS16" s="340" t="s">
        <v>520</v>
      </c>
      <c r="AT16" s="409" t="s">
        <v>519</v>
      </c>
      <c r="AU16" s="229" t="s">
        <v>174</v>
      </c>
      <c r="AY16" s="344" t="s">
        <v>476</v>
      </c>
    </row>
    <row r="17" spans="1:51" ht="15.75" customHeight="1" thickBot="1" x14ac:dyDescent="0.3">
      <c r="A17" s="199" t="s">
        <v>236</v>
      </c>
      <c r="B17" s="199" t="s">
        <v>236</v>
      </c>
      <c r="C17" s="201" t="s">
        <v>218</v>
      </c>
      <c r="D17" s="215">
        <f>AM6</f>
        <v>6.79</v>
      </c>
      <c r="E17" s="573">
        <f>AM7</f>
        <v>7.62</v>
      </c>
      <c r="F17" s="534">
        <f>AL$8</f>
        <v>8.25</v>
      </c>
      <c r="G17" s="200" t="s">
        <v>218</v>
      </c>
      <c r="H17" s="532" t="s">
        <v>75</v>
      </c>
      <c r="I17" s="200" t="s">
        <v>218</v>
      </c>
      <c r="J17" s="579">
        <f t="shared" si="3"/>
        <v>23.25</v>
      </c>
      <c r="K17" s="579" t="s">
        <v>218</v>
      </c>
      <c r="L17" s="261">
        <f>$AL$45</f>
        <v>31.5</v>
      </c>
      <c r="M17" s="261" t="s">
        <v>218</v>
      </c>
      <c r="N17" s="579" t="s">
        <v>218</v>
      </c>
      <c r="O17" s="261" t="s">
        <v>218</v>
      </c>
      <c r="P17" s="579" t="s">
        <v>218</v>
      </c>
      <c r="Q17" s="261" t="s">
        <v>218</v>
      </c>
      <c r="R17" s="261" t="s">
        <v>50</v>
      </c>
      <c r="S17" s="577" t="s">
        <v>52</v>
      </c>
      <c r="T17" s="171">
        <v>36</v>
      </c>
      <c r="U17" s="233" t="s">
        <v>64</v>
      </c>
      <c r="V17" s="205" t="s">
        <v>63</v>
      </c>
      <c r="W17" s="204" t="s">
        <v>64</v>
      </c>
      <c r="X17" s="205" t="s">
        <v>63</v>
      </c>
      <c r="Y17" s="386" t="s">
        <v>929</v>
      </c>
      <c r="Z17" s="229">
        <v>0.37</v>
      </c>
      <c r="AA17" s="229">
        <v>0.48</v>
      </c>
      <c r="AB17" s="229">
        <v>738</v>
      </c>
      <c r="AC17" s="229" t="s">
        <v>50</v>
      </c>
      <c r="AD17" s="229" t="s">
        <v>65</v>
      </c>
      <c r="AE17" s="152">
        <v>1</v>
      </c>
      <c r="AJ17" s="152">
        <v>1</v>
      </c>
      <c r="AK17" s="225">
        <v>18</v>
      </c>
      <c r="AL17" s="226">
        <v>8.25</v>
      </c>
      <c r="AM17" s="226">
        <v>8.75</v>
      </c>
      <c r="AN17" s="227">
        <v>9</v>
      </c>
      <c r="AO17" s="451"/>
      <c r="AP17" s="341" t="s">
        <v>544</v>
      </c>
      <c r="AQ17" s="152" t="s">
        <v>543</v>
      </c>
      <c r="AS17" s="343" t="s">
        <v>705</v>
      </c>
      <c r="AT17" s="409" t="s">
        <v>704</v>
      </c>
      <c r="AU17" s="229" t="s">
        <v>170</v>
      </c>
      <c r="AY17" s="344" t="s">
        <v>357</v>
      </c>
    </row>
    <row r="18" spans="1:51" ht="15.75" customHeight="1" thickBot="1" x14ac:dyDescent="0.3">
      <c r="A18" s="199" t="s">
        <v>237</v>
      </c>
      <c r="B18" s="199" t="s">
        <v>237</v>
      </c>
      <c r="C18" s="201" t="s">
        <v>218</v>
      </c>
      <c r="D18" s="215">
        <f>AM6</f>
        <v>6.79</v>
      </c>
      <c r="E18" s="573">
        <f>AM7</f>
        <v>7.62</v>
      </c>
      <c r="F18" s="534">
        <f>AL8</f>
        <v>8.25</v>
      </c>
      <c r="G18" s="200" t="s">
        <v>218</v>
      </c>
      <c r="H18" s="532" t="s">
        <v>75</v>
      </c>
      <c r="I18" s="200" t="s">
        <v>218</v>
      </c>
      <c r="J18" s="579">
        <f t="shared" si="3"/>
        <v>23.25</v>
      </c>
      <c r="K18" s="579" t="s">
        <v>218</v>
      </c>
      <c r="L18" s="261" t="s">
        <v>218</v>
      </c>
      <c r="M18" s="261" t="s">
        <v>218</v>
      </c>
      <c r="N18" s="579" t="s">
        <v>218</v>
      </c>
      <c r="O18" s="261" t="s">
        <v>218</v>
      </c>
      <c r="P18" s="579" t="s">
        <v>218</v>
      </c>
      <c r="Q18" s="261" t="s">
        <v>218</v>
      </c>
      <c r="R18" s="261" t="s">
        <v>50</v>
      </c>
      <c r="S18" s="577" t="s">
        <v>53</v>
      </c>
      <c r="T18" s="171">
        <v>36</v>
      </c>
      <c r="U18" s="233" t="s">
        <v>64</v>
      </c>
      <c r="V18" s="205" t="s">
        <v>63</v>
      </c>
      <c r="W18" s="204" t="s">
        <v>64</v>
      </c>
      <c r="X18" s="205" t="s">
        <v>63</v>
      </c>
      <c r="Y18" s="386" t="s">
        <v>930</v>
      </c>
      <c r="Z18" s="229">
        <v>0.37</v>
      </c>
      <c r="AA18" s="229">
        <v>0.48</v>
      </c>
      <c r="AB18" s="229">
        <v>738</v>
      </c>
      <c r="AC18" s="229" t="s">
        <v>50</v>
      </c>
      <c r="AD18" s="229" t="s">
        <v>65</v>
      </c>
      <c r="AE18" s="152">
        <v>1</v>
      </c>
      <c r="AJ18" s="152">
        <v>1</v>
      </c>
      <c r="AK18" s="867" t="s">
        <v>262</v>
      </c>
      <c r="AL18" s="868"/>
      <c r="AM18" s="868"/>
      <c r="AN18" s="869"/>
      <c r="AO18" s="454"/>
      <c r="AP18" s="341" t="s">
        <v>542</v>
      </c>
      <c r="AQ18" s="152" t="s">
        <v>541</v>
      </c>
      <c r="AS18" s="340" t="s">
        <v>490</v>
      </c>
      <c r="AT18" s="409" t="s">
        <v>489</v>
      </c>
      <c r="AU18" s="303" t="s">
        <v>302</v>
      </c>
      <c r="AY18" s="344" t="s">
        <v>360</v>
      </c>
    </row>
    <row r="19" spans="1:51" ht="15.75" customHeight="1" thickBot="1" x14ac:dyDescent="0.3">
      <c r="A19" s="199" t="s">
        <v>240</v>
      </c>
      <c r="B19" s="342" t="s">
        <v>240</v>
      </c>
      <c r="C19" s="201" t="s">
        <v>218</v>
      </c>
      <c r="D19" s="215">
        <f>AL6</f>
        <v>6.56</v>
      </c>
      <c r="E19" s="573">
        <f>AL7</f>
        <v>7.39</v>
      </c>
      <c r="F19" s="534">
        <f>$AL$8</f>
        <v>8.25</v>
      </c>
      <c r="G19" s="200" t="s">
        <v>218</v>
      </c>
      <c r="H19" s="532" t="s">
        <v>65</v>
      </c>
      <c r="I19" s="200" t="s">
        <v>218</v>
      </c>
      <c r="J19" s="579">
        <f t="shared" si="3"/>
        <v>23.25</v>
      </c>
      <c r="K19" s="579" t="s">
        <v>218</v>
      </c>
      <c r="L19" s="261" t="s">
        <v>218</v>
      </c>
      <c r="M19" s="261" t="s">
        <v>218</v>
      </c>
      <c r="N19" s="579" t="s">
        <v>218</v>
      </c>
      <c r="O19" s="261" t="s">
        <v>218</v>
      </c>
      <c r="P19" s="579" t="s">
        <v>218</v>
      </c>
      <c r="Q19" s="261" t="s">
        <v>218</v>
      </c>
      <c r="R19" s="261" t="s">
        <v>50</v>
      </c>
      <c r="S19" s="577" t="s">
        <v>53</v>
      </c>
      <c r="T19" s="171">
        <v>36</v>
      </c>
      <c r="U19" s="233" t="s">
        <v>64</v>
      </c>
      <c r="V19" s="205" t="s">
        <v>63</v>
      </c>
      <c r="W19" s="204" t="s">
        <v>64</v>
      </c>
      <c r="X19" s="205" t="s">
        <v>63</v>
      </c>
      <c r="Y19" s="386" t="s">
        <v>931</v>
      </c>
      <c r="Z19" s="229">
        <v>0.37</v>
      </c>
      <c r="AA19" s="229">
        <v>0.48</v>
      </c>
      <c r="AB19" s="229">
        <v>738</v>
      </c>
      <c r="AC19" s="229" t="s">
        <v>50</v>
      </c>
      <c r="AD19" s="229" t="s">
        <v>65</v>
      </c>
      <c r="AE19" s="152">
        <v>1</v>
      </c>
      <c r="AG19" s="474"/>
      <c r="AH19" s="475"/>
      <c r="AI19" s="476"/>
      <c r="AJ19" s="152">
        <v>1</v>
      </c>
      <c r="AK19" s="218">
        <v>10</v>
      </c>
      <c r="AL19" s="219">
        <v>7.48</v>
      </c>
      <c r="AM19" s="219">
        <v>7.75</v>
      </c>
      <c r="AN19" s="220">
        <v>8.1300000000000008</v>
      </c>
      <c r="AO19" s="451"/>
      <c r="AP19" s="341" t="s">
        <v>540</v>
      </c>
      <c r="AQ19" s="152" t="s">
        <v>539</v>
      </c>
      <c r="AS19" s="340" t="s">
        <v>492</v>
      </c>
      <c r="AT19" s="409" t="s">
        <v>491</v>
      </c>
      <c r="AU19" s="303" t="s">
        <v>303</v>
      </c>
      <c r="AY19" s="344" t="s">
        <v>473</v>
      </c>
    </row>
    <row r="20" spans="1:51" ht="15.75" customHeight="1" x14ac:dyDescent="0.3">
      <c r="A20" s="535" t="s">
        <v>241</v>
      </c>
      <c r="B20" s="535" t="s">
        <v>241</v>
      </c>
      <c r="C20" s="201" t="s">
        <v>218</v>
      </c>
      <c r="D20" s="201" t="s">
        <v>218</v>
      </c>
      <c r="E20" s="200" t="s">
        <v>218</v>
      </c>
      <c r="F20" s="534">
        <f>$AL$8</f>
        <v>8.25</v>
      </c>
      <c r="G20" s="200" t="s">
        <v>218</v>
      </c>
      <c r="H20" s="532" t="s">
        <v>65</v>
      </c>
      <c r="I20" s="200" t="s">
        <v>218</v>
      </c>
      <c r="J20" s="579">
        <f t="shared" si="3"/>
        <v>23.25</v>
      </c>
      <c r="K20" s="200" t="s">
        <v>218</v>
      </c>
      <c r="L20" s="261" t="s">
        <v>218</v>
      </c>
      <c r="M20" s="261" t="s">
        <v>218</v>
      </c>
      <c r="N20" s="579" t="s">
        <v>218</v>
      </c>
      <c r="O20" s="261" t="s">
        <v>218</v>
      </c>
      <c r="P20" s="579" t="s">
        <v>218</v>
      </c>
      <c r="Q20" s="261" t="s">
        <v>218</v>
      </c>
      <c r="R20" s="261" t="s">
        <v>50</v>
      </c>
      <c r="S20" s="577" t="s">
        <v>52</v>
      </c>
      <c r="T20" s="171">
        <v>36</v>
      </c>
      <c r="U20" s="233" t="s">
        <v>64</v>
      </c>
      <c r="V20" s="205" t="s">
        <v>63</v>
      </c>
      <c r="W20" s="204" t="s">
        <v>64</v>
      </c>
      <c r="X20" s="205" t="s">
        <v>63</v>
      </c>
      <c r="Y20" s="386" t="s">
        <v>932</v>
      </c>
      <c r="Z20" s="229">
        <v>0.75</v>
      </c>
      <c r="AA20" s="229">
        <v>0.98</v>
      </c>
      <c r="AB20" s="229">
        <v>738</v>
      </c>
      <c r="AC20" s="229" t="s">
        <v>50</v>
      </c>
      <c r="AD20" s="229" t="s">
        <v>65</v>
      </c>
      <c r="AE20" s="152">
        <v>1</v>
      </c>
      <c r="AG20" s="477"/>
      <c r="AH20" s="478" t="s">
        <v>823</v>
      </c>
      <c r="AI20" s="478" t="s">
        <v>824</v>
      </c>
      <c r="AJ20" s="152">
        <v>1</v>
      </c>
      <c r="AK20" s="221">
        <v>16</v>
      </c>
      <c r="AL20" s="222">
        <v>8.4</v>
      </c>
      <c r="AM20" s="222">
        <v>8.66</v>
      </c>
      <c r="AN20" s="223">
        <v>9.0500000000000007</v>
      </c>
      <c r="AO20" s="451"/>
      <c r="AP20" s="341" t="s">
        <v>538</v>
      </c>
      <c r="AQ20" s="152" t="s">
        <v>537</v>
      </c>
      <c r="AS20" s="343" t="s">
        <v>706</v>
      </c>
      <c r="AT20" s="409" t="s">
        <v>369</v>
      </c>
      <c r="AU20" s="229" t="s">
        <v>196</v>
      </c>
      <c r="AY20" s="344" t="s">
        <v>422</v>
      </c>
    </row>
    <row r="21" spans="1:51" ht="15.75" customHeight="1" thickBot="1" x14ac:dyDescent="0.35">
      <c r="A21" s="199" t="s">
        <v>242</v>
      </c>
      <c r="B21" s="199" t="s">
        <v>851</v>
      </c>
      <c r="C21" s="201" t="s">
        <v>218</v>
      </c>
      <c r="D21" s="215">
        <f>AM6</f>
        <v>6.79</v>
      </c>
      <c r="E21" s="573">
        <f>AM7</f>
        <v>7.62</v>
      </c>
      <c r="F21" s="534">
        <f>AL8</f>
        <v>8.25</v>
      </c>
      <c r="G21" s="200" t="s">
        <v>218</v>
      </c>
      <c r="H21" s="532" t="s">
        <v>65</v>
      </c>
      <c r="I21" s="200" t="s">
        <v>218</v>
      </c>
      <c r="J21" s="579">
        <f t="shared" si="3"/>
        <v>23.25</v>
      </c>
      <c r="K21" s="579">
        <v>29</v>
      </c>
      <c r="L21" s="261" t="s">
        <v>218</v>
      </c>
      <c r="M21" s="261" t="s">
        <v>218</v>
      </c>
      <c r="N21" s="579" t="s">
        <v>218</v>
      </c>
      <c r="O21" s="261" t="s">
        <v>218</v>
      </c>
      <c r="P21" s="579" t="s">
        <v>218</v>
      </c>
      <c r="Q21" s="261" t="s">
        <v>218</v>
      </c>
      <c r="R21" s="261" t="s">
        <v>50</v>
      </c>
      <c r="S21" s="577" t="s">
        <v>53</v>
      </c>
      <c r="T21" s="171">
        <v>36</v>
      </c>
      <c r="U21" s="233" t="s">
        <v>64</v>
      </c>
      <c r="V21" s="205" t="s">
        <v>63</v>
      </c>
      <c r="W21" s="204" t="s">
        <v>64</v>
      </c>
      <c r="X21" s="205" t="s">
        <v>63</v>
      </c>
      <c r="Y21" s="229" t="s">
        <v>169</v>
      </c>
      <c r="Z21" s="229">
        <v>0.75</v>
      </c>
      <c r="AA21" s="229">
        <v>0.98</v>
      </c>
      <c r="AB21" s="229">
        <v>738</v>
      </c>
      <c r="AC21" s="229" t="s">
        <v>50</v>
      </c>
      <c r="AD21" s="229" t="s">
        <v>65</v>
      </c>
      <c r="AE21" s="152">
        <v>1</v>
      </c>
      <c r="AG21" s="477"/>
      <c r="AH21" s="480">
        <v>1</v>
      </c>
      <c r="AI21" s="484">
        <f>AH21*92903.04</f>
        <v>92903.039999999994</v>
      </c>
      <c r="AJ21" s="152">
        <v>1</v>
      </c>
      <c r="AK21" s="234">
        <v>18</v>
      </c>
      <c r="AL21" s="226">
        <v>8.25</v>
      </c>
      <c r="AM21" s="226">
        <v>8.75</v>
      </c>
      <c r="AN21" s="227">
        <v>9</v>
      </c>
      <c r="AO21" s="451"/>
      <c r="AP21" s="341" t="s">
        <v>549</v>
      </c>
      <c r="AQ21" s="152" t="s">
        <v>548</v>
      </c>
      <c r="AS21" s="340" t="s">
        <v>518</v>
      </c>
      <c r="AT21" s="409" t="s">
        <v>517</v>
      </c>
      <c r="AU21" s="303" t="s">
        <v>304</v>
      </c>
      <c r="AY21" s="344" t="s">
        <v>424</v>
      </c>
    </row>
    <row r="22" spans="1:51" ht="15.75" customHeight="1" thickBot="1" x14ac:dyDescent="0.3">
      <c r="A22" s="199" t="s">
        <v>243</v>
      </c>
      <c r="B22" s="199" t="s">
        <v>852</v>
      </c>
      <c r="C22" s="201" t="s">
        <v>218</v>
      </c>
      <c r="D22" s="215">
        <f>AN6</f>
        <v>7.12</v>
      </c>
      <c r="E22" s="573">
        <f>AN7</f>
        <v>7.96</v>
      </c>
      <c r="F22" s="534">
        <f>AM8</f>
        <v>8.75</v>
      </c>
      <c r="G22" s="200" t="s">
        <v>218</v>
      </c>
      <c r="H22" s="532" t="s">
        <v>65</v>
      </c>
      <c r="I22" s="200" t="s">
        <v>218</v>
      </c>
      <c r="J22" s="579">
        <f t="shared" si="3"/>
        <v>23.25</v>
      </c>
      <c r="K22" s="579" t="s">
        <v>218</v>
      </c>
      <c r="L22" s="261" t="s">
        <v>218</v>
      </c>
      <c r="M22" s="261" t="s">
        <v>218</v>
      </c>
      <c r="N22" s="579" t="s">
        <v>218</v>
      </c>
      <c r="O22" s="261" t="s">
        <v>218</v>
      </c>
      <c r="P22" s="579" t="s">
        <v>218</v>
      </c>
      <c r="Q22" s="261" t="s">
        <v>218</v>
      </c>
      <c r="R22" s="261" t="s">
        <v>50</v>
      </c>
      <c r="S22" s="577" t="s">
        <v>53</v>
      </c>
      <c r="T22" s="171">
        <v>36</v>
      </c>
      <c r="U22" s="233" t="s">
        <v>64</v>
      </c>
      <c r="V22" s="205" t="s">
        <v>63</v>
      </c>
      <c r="W22" s="204" t="s">
        <v>64</v>
      </c>
      <c r="X22" s="205" t="s">
        <v>63</v>
      </c>
      <c r="Y22" s="229" t="s">
        <v>157</v>
      </c>
      <c r="Z22" s="229">
        <v>0.75</v>
      </c>
      <c r="AA22" s="229">
        <v>0.98</v>
      </c>
      <c r="AB22" s="229">
        <v>738</v>
      </c>
      <c r="AC22" s="229" t="s">
        <v>50</v>
      </c>
      <c r="AD22" s="229" t="s">
        <v>65</v>
      </c>
      <c r="AE22" s="152">
        <v>1</v>
      </c>
      <c r="AG22" s="477"/>
      <c r="AH22" s="481"/>
      <c r="AI22" s="479"/>
      <c r="AJ22" s="152">
        <v>1</v>
      </c>
      <c r="AK22" s="867" t="s">
        <v>263</v>
      </c>
      <c r="AL22" s="868"/>
      <c r="AM22" s="868"/>
      <c r="AN22" s="869"/>
      <c r="AO22" s="454"/>
      <c r="AP22" s="341" t="s">
        <v>922</v>
      </c>
      <c r="AQ22" s="152" t="s">
        <v>550</v>
      </c>
      <c r="AS22" s="340" t="s">
        <v>502</v>
      </c>
      <c r="AT22" s="409" t="s">
        <v>501</v>
      </c>
      <c r="AU22" s="229" t="s">
        <v>168</v>
      </c>
      <c r="AY22" s="344" t="s">
        <v>430</v>
      </c>
    </row>
    <row r="23" spans="1:51" ht="15.75" customHeight="1" thickBot="1" x14ac:dyDescent="0.3">
      <c r="A23" s="199" t="s">
        <v>853</v>
      </c>
      <c r="B23" s="199" t="s">
        <v>853</v>
      </c>
      <c r="C23" s="201" t="s">
        <v>218</v>
      </c>
      <c r="D23" s="215">
        <f t="shared" ref="D23:D33" si="4">$AN$6</f>
        <v>7.12</v>
      </c>
      <c r="E23" s="573">
        <f>AN7</f>
        <v>7.96</v>
      </c>
      <c r="F23" s="534">
        <f>AM8</f>
        <v>8.75</v>
      </c>
      <c r="G23" s="200" t="s">
        <v>218</v>
      </c>
      <c r="H23" s="532" t="s">
        <v>65</v>
      </c>
      <c r="I23" s="200" t="s">
        <v>218</v>
      </c>
      <c r="J23" s="579">
        <f t="shared" si="3"/>
        <v>23.25</v>
      </c>
      <c r="K23" s="579" t="s">
        <v>218</v>
      </c>
      <c r="L23" s="261" t="s">
        <v>218</v>
      </c>
      <c r="M23" s="261" t="s">
        <v>218</v>
      </c>
      <c r="N23" s="579" t="s">
        <v>218</v>
      </c>
      <c r="O23" s="261" t="s">
        <v>218</v>
      </c>
      <c r="P23" s="579" t="s">
        <v>218</v>
      </c>
      <c r="Q23" s="261" t="s">
        <v>218</v>
      </c>
      <c r="R23" s="261" t="s">
        <v>50</v>
      </c>
      <c r="S23" s="577" t="s">
        <v>53</v>
      </c>
      <c r="T23" s="171">
        <v>36</v>
      </c>
      <c r="U23" s="233" t="s">
        <v>64</v>
      </c>
      <c r="V23" s="205" t="s">
        <v>63</v>
      </c>
      <c r="W23" s="204" t="s">
        <v>64</v>
      </c>
      <c r="X23" s="205" t="s">
        <v>63</v>
      </c>
      <c r="Y23" s="229" t="s">
        <v>199</v>
      </c>
      <c r="Z23" s="229">
        <v>0.37</v>
      </c>
      <c r="AA23" s="229">
        <v>0.48</v>
      </c>
      <c r="AB23" s="229">
        <v>738</v>
      </c>
      <c r="AC23" s="229" t="s">
        <v>50</v>
      </c>
      <c r="AD23" s="229" t="s">
        <v>65</v>
      </c>
      <c r="AE23" s="152">
        <v>1</v>
      </c>
      <c r="AG23" s="471"/>
      <c r="AH23" s="482"/>
      <c r="AI23" s="483"/>
      <c r="AJ23" s="152">
        <v>1</v>
      </c>
      <c r="AK23" s="218">
        <v>10</v>
      </c>
      <c r="AL23" s="873">
        <v>12.87</v>
      </c>
      <c r="AM23" s="874"/>
      <c r="AN23" s="875"/>
      <c r="AO23" s="451"/>
      <c r="AP23" s="341" t="s">
        <v>606</v>
      </c>
      <c r="AQ23" s="152" t="s">
        <v>605</v>
      </c>
      <c r="AS23" s="340" t="s">
        <v>512</v>
      </c>
      <c r="AT23" s="409" t="s">
        <v>511</v>
      </c>
      <c r="AU23" s="286" t="s">
        <v>198</v>
      </c>
    </row>
    <row r="24" spans="1:51" ht="15.75" customHeight="1" thickBot="1" x14ac:dyDescent="0.3">
      <c r="A24" s="531" t="s">
        <v>923</v>
      </c>
      <c r="B24" s="531" t="s">
        <v>923</v>
      </c>
      <c r="C24" s="201" t="s">
        <v>218</v>
      </c>
      <c r="D24" s="377"/>
      <c r="E24" s="575"/>
      <c r="F24" s="576">
        <v>8.75</v>
      </c>
      <c r="G24" s="200" t="s">
        <v>218</v>
      </c>
      <c r="H24" s="532" t="s">
        <v>65</v>
      </c>
      <c r="I24" s="200" t="s">
        <v>218</v>
      </c>
      <c r="J24" s="579">
        <f>$AL$43</f>
        <v>23.25</v>
      </c>
      <c r="K24" s="579" t="s">
        <v>218</v>
      </c>
      <c r="L24" s="261" t="s">
        <v>218</v>
      </c>
      <c r="M24" s="261" t="s">
        <v>218</v>
      </c>
      <c r="N24" s="579" t="s">
        <v>218</v>
      </c>
      <c r="O24" s="261" t="s">
        <v>218</v>
      </c>
      <c r="P24" s="579" t="s">
        <v>218</v>
      </c>
      <c r="Q24" s="261" t="s">
        <v>218</v>
      </c>
      <c r="R24" s="261" t="s">
        <v>50</v>
      </c>
      <c r="S24" s="577" t="s">
        <v>53</v>
      </c>
      <c r="T24" s="171">
        <v>36</v>
      </c>
      <c r="U24" s="233" t="s">
        <v>64</v>
      </c>
      <c r="V24" s="205" t="s">
        <v>63</v>
      </c>
      <c r="W24" s="204" t="s">
        <v>64</v>
      </c>
      <c r="X24" s="205" t="s">
        <v>63</v>
      </c>
      <c r="Y24" s="229" t="s">
        <v>187</v>
      </c>
      <c r="Z24" s="229">
        <v>0.37</v>
      </c>
      <c r="AA24" s="229">
        <v>0.48</v>
      </c>
      <c r="AB24" s="229">
        <v>738</v>
      </c>
      <c r="AC24" s="229" t="s">
        <v>50</v>
      </c>
      <c r="AD24" s="229" t="s">
        <v>65</v>
      </c>
      <c r="AE24" s="373">
        <v>1</v>
      </c>
      <c r="AG24" s="472"/>
      <c r="AH24" s="885" t="s">
        <v>825</v>
      </c>
      <c r="AI24" s="886"/>
      <c r="AJ24" s="152">
        <v>1</v>
      </c>
      <c r="AK24" s="221">
        <v>16</v>
      </c>
      <c r="AL24" s="876">
        <v>13.69</v>
      </c>
      <c r="AM24" s="877"/>
      <c r="AN24" s="878"/>
      <c r="AO24" s="451"/>
      <c r="AP24" s="415" t="s">
        <v>675</v>
      </c>
      <c r="AQ24" s="415" t="s">
        <v>553</v>
      </c>
      <c r="AS24" s="152" t="s">
        <v>673</v>
      </c>
      <c r="AT24" s="409" t="s">
        <v>672</v>
      </c>
      <c r="AU24" s="286" t="s">
        <v>186</v>
      </c>
      <c r="AV24" s="152" t="s">
        <v>327</v>
      </c>
    </row>
    <row r="25" spans="1:51" ht="15.75" customHeight="1" thickBot="1" x14ac:dyDescent="0.3">
      <c r="A25" s="199" t="s">
        <v>244</v>
      </c>
      <c r="B25" s="199" t="s">
        <v>244</v>
      </c>
      <c r="C25" s="201" t="s">
        <v>218</v>
      </c>
      <c r="D25" s="215">
        <f t="shared" si="4"/>
        <v>7.12</v>
      </c>
      <c r="E25" s="573">
        <f>AN7</f>
        <v>7.96</v>
      </c>
      <c r="F25" s="534">
        <f>AM8</f>
        <v>8.75</v>
      </c>
      <c r="G25" s="200" t="s">
        <v>218</v>
      </c>
      <c r="H25" s="532" t="s">
        <v>65</v>
      </c>
      <c r="I25" s="200" t="s">
        <v>218</v>
      </c>
      <c r="J25" s="579">
        <f t="shared" ref="J25:J27" si="5">$AL$43</f>
        <v>23.25</v>
      </c>
      <c r="K25" s="579" t="s">
        <v>218</v>
      </c>
      <c r="L25" s="261" t="s">
        <v>218</v>
      </c>
      <c r="M25" s="261" t="s">
        <v>218</v>
      </c>
      <c r="N25" s="579" t="s">
        <v>218</v>
      </c>
      <c r="O25" s="261" t="s">
        <v>218</v>
      </c>
      <c r="P25" s="579" t="s">
        <v>218</v>
      </c>
      <c r="Q25" s="261" t="s">
        <v>218</v>
      </c>
      <c r="R25" s="261" t="s">
        <v>50</v>
      </c>
      <c r="S25" s="577" t="s">
        <v>53</v>
      </c>
      <c r="T25" s="171">
        <v>36</v>
      </c>
      <c r="U25" s="233" t="s">
        <v>64</v>
      </c>
      <c r="V25" s="205" t="s">
        <v>63</v>
      </c>
      <c r="W25" s="204" t="s">
        <v>64</v>
      </c>
      <c r="X25" s="205" t="s">
        <v>63</v>
      </c>
      <c r="Y25" s="229" t="s">
        <v>181</v>
      </c>
      <c r="Z25" s="229">
        <v>0.75</v>
      </c>
      <c r="AA25" s="229">
        <v>0.98</v>
      </c>
      <c r="AB25" s="229">
        <v>738</v>
      </c>
      <c r="AC25" s="229" t="s">
        <v>50</v>
      </c>
      <c r="AD25" s="229" t="s">
        <v>65</v>
      </c>
      <c r="AE25" s="152">
        <v>1</v>
      </c>
      <c r="AG25" s="473"/>
      <c r="AH25" s="482"/>
      <c r="AI25" s="483"/>
      <c r="AJ25" s="152">
        <v>1</v>
      </c>
      <c r="AK25" s="235">
        <v>18</v>
      </c>
      <c r="AL25" s="879">
        <v>14.09</v>
      </c>
      <c r="AM25" s="880"/>
      <c r="AN25" s="881"/>
      <c r="AO25" s="451"/>
      <c r="AP25" s="341" t="s">
        <v>552</v>
      </c>
      <c r="AQ25" s="152" t="s">
        <v>551</v>
      </c>
      <c r="AS25" s="340" t="s">
        <v>508</v>
      </c>
      <c r="AT25" s="409" t="s">
        <v>507</v>
      </c>
      <c r="AU25" s="229" t="s">
        <v>160</v>
      </c>
      <c r="AV25" s="518" t="s">
        <v>856</v>
      </c>
      <c r="AW25" s="520">
        <v>1</v>
      </c>
      <c r="AX25" s="518" t="s">
        <v>434</v>
      </c>
    </row>
    <row r="26" spans="1:51" ht="15.75" customHeight="1" x14ac:dyDescent="0.25">
      <c r="A26" s="199" t="s">
        <v>267</v>
      </c>
      <c r="B26" s="199" t="s">
        <v>267</v>
      </c>
      <c r="C26" s="201" t="s">
        <v>218</v>
      </c>
      <c r="D26" s="215">
        <f t="shared" si="4"/>
        <v>7.12</v>
      </c>
      <c r="E26" s="573">
        <f>AN7</f>
        <v>7.96</v>
      </c>
      <c r="F26" s="534">
        <f>AM8</f>
        <v>8.75</v>
      </c>
      <c r="G26" s="200" t="s">
        <v>218</v>
      </c>
      <c r="H26" s="532" t="s">
        <v>75</v>
      </c>
      <c r="I26" s="200" t="s">
        <v>218</v>
      </c>
      <c r="J26" s="579">
        <f t="shared" si="5"/>
        <v>23.25</v>
      </c>
      <c r="K26" s="579" t="s">
        <v>218</v>
      </c>
      <c r="L26" s="261" t="s">
        <v>218</v>
      </c>
      <c r="M26" s="261" t="s">
        <v>218</v>
      </c>
      <c r="N26" s="579" t="s">
        <v>218</v>
      </c>
      <c r="O26" s="261" t="s">
        <v>218</v>
      </c>
      <c r="P26" s="579" t="s">
        <v>218</v>
      </c>
      <c r="Q26" s="261" t="s">
        <v>218</v>
      </c>
      <c r="R26" s="261" t="s">
        <v>50</v>
      </c>
      <c r="S26" s="577" t="s">
        <v>53</v>
      </c>
      <c r="T26" s="171">
        <v>36</v>
      </c>
      <c r="U26" s="233" t="s">
        <v>64</v>
      </c>
      <c r="V26" s="205" t="s">
        <v>63</v>
      </c>
      <c r="W26" s="204" t="s">
        <v>64</v>
      </c>
      <c r="X26" s="205" t="s">
        <v>63</v>
      </c>
      <c r="Y26" s="229" t="s">
        <v>165</v>
      </c>
      <c r="Z26" s="229">
        <v>0.75</v>
      </c>
      <c r="AA26" s="229">
        <v>0.98</v>
      </c>
      <c r="AB26" s="229">
        <v>738</v>
      </c>
      <c r="AC26" s="229" t="s">
        <v>50</v>
      </c>
      <c r="AD26" s="229" t="s">
        <v>65</v>
      </c>
      <c r="AE26" s="152">
        <v>1</v>
      </c>
      <c r="AJ26" s="152">
        <v>1</v>
      </c>
      <c r="AP26" s="341" t="s">
        <v>586</v>
      </c>
      <c r="AQ26" s="152" t="s">
        <v>585</v>
      </c>
      <c r="AS26" s="340" t="s">
        <v>510</v>
      </c>
      <c r="AT26" s="409" t="s">
        <v>509</v>
      </c>
      <c r="AU26" s="229" t="s">
        <v>159</v>
      </c>
      <c r="AV26" s="518" t="s">
        <v>857</v>
      </c>
      <c r="AW26" s="520">
        <v>1</v>
      </c>
      <c r="AX26" s="518" t="s">
        <v>412</v>
      </c>
    </row>
    <row r="27" spans="1:51" ht="15.75" customHeight="1" x14ac:dyDescent="0.25">
      <c r="A27" s="199" t="s">
        <v>246</v>
      </c>
      <c r="B27" s="199" t="s">
        <v>246</v>
      </c>
      <c r="C27" s="201" t="s">
        <v>218</v>
      </c>
      <c r="D27" s="215">
        <f t="shared" si="4"/>
        <v>7.12</v>
      </c>
      <c r="E27" s="573">
        <f>AN7</f>
        <v>7.96</v>
      </c>
      <c r="F27" s="534">
        <f>AM8</f>
        <v>8.75</v>
      </c>
      <c r="G27" s="200" t="s">
        <v>218</v>
      </c>
      <c r="H27" s="532" t="s">
        <v>65</v>
      </c>
      <c r="I27" s="200" t="s">
        <v>218</v>
      </c>
      <c r="J27" s="579">
        <f t="shared" si="5"/>
        <v>23.25</v>
      </c>
      <c r="K27" s="579">
        <v>29</v>
      </c>
      <c r="L27" s="261" t="s">
        <v>218</v>
      </c>
      <c r="M27" s="261" t="s">
        <v>218</v>
      </c>
      <c r="N27" s="579" t="s">
        <v>218</v>
      </c>
      <c r="O27" s="261" t="s">
        <v>218</v>
      </c>
      <c r="P27" s="579" t="s">
        <v>218</v>
      </c>
      <c r="Q27" s="261" t="s">
        <v>218</v>
      </c>
      <c r="R27" s="261" t="s">
        <v>50</v>
      </c>
      <c r="S27" s="577" t="s">
        <v>52</v>
      </c>
      <c r="T27" s="171">
        <v>36</v>
      </c>
      <c r="U27" s="233" t="s">
        <v>64</v>
      </c>
      <c r="V27" s="205" t="s">
        <v>63</v>
      </c>
      <c r="W27" s="204" t="s">
        <v>64</v>
      </c>
      <c r="X27" s="205" t="s">
        <v>63</v>
      </c>
      <c r="Y27" s="229" t="s">
        <v>163</v>
      </c>
      <c r="Z27" s="229">
        <v>0.75</v>
      </c>
      <c r="AA27" s="229">
        <v>0.98</v>
      </c>
      <c r="AB27" s="229">
        <v>738</v>
      </c>
      <c r="AC27" s="229" t="s">
        <v>50</v>
      </c>
      <c r="AD27" s="229" t="s">
        <v>65</v>
      </c>
      <c r="AE27" s="152">
        <v>1</v>
      </c>
      <c r="AJ27" s="152">
        <v>1</v>
      </c>
      <c r="AP27" s="341" t="s">
        <v>608</v>
      </c>
      <c r="AQ27" s="152" t="s">
        <v>607</v>
      </c>
      <c r="AS27" s="340" t="s">
        <v>483</v>
      </c>
      <c r="AT27" s="409" t="s">
        <v>482</v>
      </c>
      <c r="AU27" s="286" t="s">
        <v>184</v>
      </c>
      <c r="AV27" s="518" t="s">
        <v>858</v>
      </c>
      <c r="AW27" s="520">
        <v>1</v>
      </c>
      <c r="AX27" s="518" t="s">
        <v>440</v>
      </c>
    </row>
    <row r="28" spans="1:51" ht="15.75" customHeight="1" x14ac:dyDescent="0.25">
      <c r="A28" s="531" t="s">
        <v>925</v>
      </c>
      <c r="B28" s="531" t="s">
        <v>925</v>
      </c>
      <c r="C28" s="201" t="s">
        <v>218</v>
      </c>
      <c r="D28" s="215"/>
      <c r="E28" s="573"/>
      <c r="F28" s="534">
        <f>$AM$8</f>
        <v>8.75</v>
      </c>
      <c r="G28" s="200" t="s">
        <v>218</v>
      </c>
      <c r="H28" s="532" t="s">
        <v>65</v>
      </c>
      <c r="I28" s="200" t="s">
        <v>218</v>
      </c>
      <c r="J28" s="579">
        <f>$AL$43</f>
        <v>23.25</v>
      </c>
      <c r="K28" s="579" t="s">
        <v>218</v>
      </c>
      <c r="L28" s="261" t="s">
        <v>218</v>
      </c>
      <c r="M28" s="261" t="s">
        <v>218</v>
      </c>
      <c r="N28" s="579" t="s">
        <v>218</v>
      </c>
      <c r="O28" s="261" t="s">
        <v>218</v>
      </c>
      <c r="P28" s="579" t="s">
        <v>218</v>
      </c>
      <c r="Q28" s="261" t="s">
        <v>218</v>
      </c>
      <c r="R28" s="261" t="s">
        <v>50</v>
      </c>
      <c r="S28" s="577" t="s">
        <v>52</v>
      </c>
      <c r="T28" s="171">
        <v>36</v>
      </c>
      <c r="U28" s="233" t="s">
        <v>64</v>
      </c>
      <c r="V28" s="205" t="s">
        <v>63</v>
      </c>
      <c r="W28" s="204" t="s">
        <v>64</v>
      </c>
      <c r="X28" s="205" t="s">
        <v>63</v>
      </c>
      <c r="Y28" s="229" t="s">
        <v>193</v>
      </c>
      <c r="Z28" s="229">
        <v>0.37</v>
      </c>
      <c r="AA28" s="229">
        <v>0.48</v>
      </c>
      <c r="AB28" s="229">
        <v>738</v>
      </c>
      <c r="AC28" s="229" t="s">
        <v>50</v>
      </c>
      <c r="AD28" s="229" t="s">
        <v>65</v>
      </c>
      <c r="AE28" s="152">
        <v>0</v>
      </c>
      <c r="AJ28" s="152">
        <v>1</v>
      </c>
      <c r="AP28" s="415" t="s">
        <v>677</v>
      </c>
      <c r="AQ28" s="415" t="s">
        <v>587</v>
      </c>
      <c r="AS28" s="340" t="s">
        <v>995</v>
      </c>
      <c r="AT28" s="409" t="s">
        <v>484</v>
      </c>
      <c r="AU28" s="286" t="s">
        <v>990</v>
      </c>
      <c r="AV28" s="518" t="s">
        <v>859</v>
      </c>
      <c r="AW28" s="520">
        <v>1</v>
      </c>
      <c r="AX28" s="518" t="s">
        <v>438</v>
      </c>
    </row>
    <row r="29" spans="1:51" ht="15.75" customHeight="1" x14ac:dyDescent="0.25">
      <c r="A29" s="531" t="s">
        <v>926</v>
      </c>
      <c r="B29" s="531" t="s">
        <v>926</v>
      </c>
      <c r="C29" s="201" t="s">
        <v>218</v>
      </c>
      <c r="D29" s="215"/>
      <c r="E29" s="573"/>
      <c r="F29" s="534">
        <f>$AM$8</f>
        <v>8.75</v>
      </c>
      <c r="G29" s="200" t="s">
        <v>218</v>
      </c>
      <c r="H29" s="532" t="s">
        <v>65</v>
      </c>
      <c r="I29" s="200" t="s">
        <v>218</v>
      </c>
      <c r="J29" s="579">
        <f>$AL$43</f>
        <v>23.25</v>
      </c>
      <c r="K29" s="579" t="s">
        <v>218</v>
      </c>
      <c r="L29" s="261" t="s">
        <v>218</v>
      </c>
      <c r="M29" s="261" t="s">
        <v>218</v>
      </c>
      <c r="N29" s="579" t="s">
        <v>218</v>
      </c>
      <c r="O29" s="261" t="s">
        <v>218</v>
      </c>
      <c r="P29" s="579" t="s">
        <v>218</v>
      </c>
      <c r="Q29" s="261" t="s">
        <v>218</v>
      </c>
      <c r="R29" s="261" t="s">
        <v>50</v>
      </c>
      <c r="S29" s="577" t="s">
        <v>52</v>
      </c>
      <c r="T29" s="171">
        <v>36</v>
      </c>
      <c r="U29" s="233" t="s">
        <v>64</v>
      </c>
      <c r="V29" s="205" t="s">
        <v>63</v>
      </c>
      <c r="W29" s="204" t="s">
        <v>64</v>
      </c>
      <c r="X29" s="205" t="s">
        <v>63</v>
      </c>
      <c r="Y29" s="229" t="s">
        <v>312</v>
      </c>
      <c r="Z29" s="229">
        <v>0.75</v>
      </c>
      <c r="AA29" s="229">
        <v>0.98</v>
      </c>
      <c r="AB29" s="229">
        <v>738</v>
      </c>
      <c r="AC29" s="229" t="s">
        <v>50</v>
      </c>
      <c r="AD29" s="229" t="s">
        <v>65</v>
      </c>
      <c r="AE29" s="152">
        <v>0</v>
      </c>
      <c r="AJ29" s="152">
        <v>1</v>
      </c>
      <c r="AK29" s="236" t="s">
        <v>29</v>
      </c>
      <c r="AL29" s="237"/>
      <c r="AM29" s="238" t="s">
        <v>30</v>
      </c>
      <c r="AP29" s="152" t="s">
        <v>676</v>
      </c>
      <c r="AQ29" s="152" t="s">
        <v>554</v>
      </c>
      <c r="AS29" s="152" t="s">
        <v>671</v>
      </c>
      <c r="AT29" s="409" t="s">
        <v>670</v>
      </c>
      <c r="AU29" s="286" t="s">
        <v>180</v>
      </c>
      <c r="AV29" s="518" t="s">
        <v>832</v>
      </c>
      <c r="AW29" s="520">
        <v>0</v>
      </c>
      <c r="AX29" s="518" t="s">
        <v>450</v>
      </c>
    </row>
    <row r="30" spans="1:51" ht="15.75" customHeight="1" thickBot="1" x14ac:dyDescent="0.3">
      <c r="A30" s="531" t="s">
        <v>927</v>
      </c>
      <c r="B30" s="531" t="s">
        <v>927</v>
      </c>
      <c r="C30" s="201" t="s">
        <v>218</v>
      </c>
      <c r="D30" s="215"/>
      <c r="E30" s="573"/>
      <c r="F30" s="534">
        <f>$AM$8</f>
        <v>8.75</v>
      </c>
      <c r="G30" s="200" t="s">
        <v>218</v>
      </c>
      <c r="H30" s="532" t="s">
        <v>65</v>
      </c>
      <c r="I30" s="200" t="s">
        <v>218</v>
      </c>
      <c r="J30" s="579">
        <f>$AL$43</f>
        <v>23.25</v>
      </c>
      <c r="K30" s="579" t="s">
        <v>218</v>
      </c>
      <c r="L30" s="261" t="s">
        <v>218</v>
      </c>
      <c r="M30" s="261" t="s">
        <v>218</v>
      </c>
      <c r="N30" s="579" t="s">
        <v>218</v>
      </c>
      <c r="O30" s="261" t="s">
        <v>218</v>
      </c>
      <c r="P30" s="579" t="s">
        <v>218</v>
      </c>
      <c r="Q30" s="261" t="s">
        <v>218</v>
      </c>
      <c r="R30" s="261" t="s">
        <v>50</v>
      </c>
      <c r="S30" s="577" t="s">
        <v>52</v>
      </c>
      <c r="T30" s="171">
        <v>36</v>
      </c>
      <c r="U30" s="233" t="s">
        <v>64</v>
      </c>
      <c r="V30" s="205" t="s">
        <v>63</v>
      </c>
      <c r="W30" s="204" t="s">
        <v>64</v>
      </c>
      <c r="X30" s="205" t="s">
        <v>63</v>
      </c>
      <c r="Y30" s="229" t="s">
        <v>257</v>
      </c>
      <c r="Z30" s="229">
        <v>0.37</v>
      </c>
      <c r="AA30" s="229">
        <v>0.48</v>
      </c>
      <c r="AB30" s="229">
        <v>738</v>
      </c>
      <c r="AC30" s="229" t="s">
        <v>50</v>
      </c>
      <c r="AD30" s="229" t="s">
        <v>65</v>
      </c>
      <c r="AE30" s="152">
        <v>0</v>
      </c>
      <c r="AJ30" s="152">
        <v>1</v>
      </c>
      <c r="AP30" s="341" t="s">
        <v>547</v>
      </c>
      <c r="AQ30" s="152" t="s">
        <v>546</v>
      </c>
      <c r="AS30" s="340" t="s">
        <v>486</v>
      </c>
      <c r="AT30" s="409" t="s">
        <v>485</v>
      </c>
      <c r="AU30" s="286" t="s">
        <v>182</v>
      </c>
      <c r="AV30" s="518" t="s">
        <v>833</v>
      </c>
      <c r="AW30" s="520">
        <v>0</v>
      </c>
      <c r="AX30" s="518" t="s">
        <v>452</v>
      </c>
    </row>
    <row r="31" spans="1:51" ht="15.75" customHeight="1" x14ac:dyDescent="0.25">
      <c r="A31" s="531" t="s">
        <v>928</v>
      </c>
      <c r="B31" s="531" t="s">
        <v>928</v>
      </c>
      <c r="C31" s="201" t="s">
        <v>218</v>
      </c>
      <c r="D31" s="201" t="s">
        <v>218</v>
      </c>
      <c r="E31" s="200" t="s">
        <v>218</v>
      </c>
      <c r="F31" s="534">
        <f>$AM$8</f>
        <v>8.75</v>
      </c>
      <c r="G31" s="200" t="s">
        <v>218</v>
      </c>
      <c r="H31" s="532" t="s">
        <v>65</v>
      </c>
      <c r="I31" s="200" t="s">
        <v>218</v>
      </c>
      <c r="J31" s="579">
        <f>$AL$43</f>
        <v>23.25</v>
      </c>
      <c r="K31" s="579">
        <v>29</v>
      </c>
      <c r="L31" s="261" t="s">
        <v>218</v>
      </c>
      <c r="M31" s="261" t="s">
        <v>218</v>
      </c>
      <c r="N31" s="579" t="s">
        <v>218</v>
      </c>
      <c r="O31" s="261" t="s">
        <v>218</v>
      </c>
      <c r="P31" s="579" t="s">
        <v>218</v>
      </c>
      <c r="Q31" s="261" t="s">
        <v>218</v>
      </c>
      <c r="R31" s="261" t="s">
        <v>50</v>
      </c>
      <c r="S31" s="577" t="s">
        <v>53</v>
      </c>
      <c r="T31" s="171">
        <v>36</v>
      </c>
      <c r="U31" s="504" t="s">
        <v>64</v>
      </c>
      <c r="V31" s="193" t="s">
        <v>63</v>
      </c>
      <c r="W31" s="192" t="s">
        <v>64</v>
      </c>
      <c r="X31" s="505" t="s">
        <v>63</v>
      </c>
      <c r="Y31" s="229" t="s">
        <v>210</v>
      </c>
      <c r="Z31" s="229">
        <v>0.75</v>
      </c>
      <c r="AA31" s="229">
        <v>0.98</v>
      </c>
      <c r="AB31" s="229">
        <v>738</v>
      </c>
      <c r="AC31" s="229" t="s">
        <v>50</v>
      </c>
      <c r="AD31" s="229" t="s">
        <v>65</v>
      </c>
      <c r="AE31" s="152">
        <v>0</v>
      </c>
      <c r="AF31" s="373"/>
      <c r="AG31" s="373"/>
      <c r="AH31" s="373"/>
      <c r="AI31" s="373"/>
      <c r="AJ31" s="373">
        <v>1</v>
      </c>
      <c r="AK31" s="527" t="s">
        <v>31</v>
      </c>
      <c r="AL31" s="527" t="s">
        <v>32</v>
      </c>
      <c r="AM31" s="527" t="s">
        <v>33</v>
      </c>
      <c r="AN31" s="385"/>
      <c r="AP31" s="341" t="s">
        <v>575</v>
      </c>
      <c r="AQ31" s="152" t="s">
        <v>574</v>
      </c>
      <c r="AS31" s="355" t="s">
        <v>665</v>
      </c>
      <c r="AT31" s="409" t="s">
        <v>664</v>
      </c>
      <c r="AU31" s="384" t="s">
        <v>166</v>
      </c>
      <c r="AV31" s="518" t="s">
        <v>874</v>
      </c>
      <c r="AW31" s="520">
        <v>0</v>
      </c>
      <c r="AX31" s="518" t="s">
        <v>888</v>
      </c>
    </row>
    <row r="32" spans="1:51" ht="15.75" customHeight="1" x14ac:dyDescent="0.25">
      <c r="A32" s="199" t="s">
        <v>247</v>
      </c>
      <c r="B32" s="199" t="s">
        <v>247</v>
      </c>
      <c r="C32" s="201" t="s">
        <v>218</v>
      </c>
      <c r="D32" s="215">
        <f t="shared" si="4"/>
        <v>7.12</v>
      </c>
      <c r="E32" s="573">
        <f>AN7</f>
        <v>7.96</v>
      </c>
      <c r="F32" s="534">
        <f>AM8</f>
        <v>8.75</v>
      </c>
      <c r="G32" s="200" t="s">
        <v>218</v>
      </c>
      <c r="H32" s="532" t="s">
        <v>65</v>
      </c>
      <c r="I32" s="200" t="s">
        <v>218</v>
      </c>
      <c r="J32" s="579">
        <f t="shared" ref="J32:J39" si="6">$AL$43</f>
        <v>23.25</v>
      </c>
      <c r="K32" s="579">
        <v>29</v>
      </c>
      <c r="L32" s="261" t="s">
        <v>218</v>
      </c>
      <c r="M32" s="261" t="s">
        <v>218</v>
      </c>
      <c r="N32" s="579" t="s">
        <v>218</v>
      </c>
      <c r="O32" s="261" t="s">
        <v>218</v>
      </c>
      <c r="P32" s="579" t="s">
        <v>218</v>
      </c>
      <c r="Q32" s="261" t="s">
        <v>218</v>
      </c>
      <c r="R32" s="261" t="s">
        <v>50</v>
      </c>
      <c r="S32" s="577" t="s">
        <v>53</v>
      </c>
      <c r="T32" s="171">
        <v>36</v>
      </c>
      <c r="U32" s="502" t="s">
        <v>64</v>
      </c>
      <c r="V32" s="205" t="s">
        <v>63</v>
      </c>
      <c r="W32" s="204" t="s">
        <v>64</v>
      </c>
      <c r="X32" s="506" t="s">
        <v>63</v>
      </c>
      <c r="Y32" s="229" t="s">
        <v>867</v>
      </c>
      <c r="Z32" s="229">
        <v>0.75</v>
      </c>
      <c r="AA32" s="229">
        <v>0.98</v>
      </c>
      <c r="AB32" s="229">
        <v>738</v>
      </c>
      <c r="AC32" s="229" t="s">
        <v>50</v>
      </c>
      <c r="AD32" s="229" t="s">
        <v>65</v>
      </c>
      <c r="AE32" s="152">
        <v>0</v>
      </c>
      <c r="AJ32" s="152">
        <v>1</v>
      </c>
      <c r="AK32" s="240" t="s">
        <v>34</v>
      </c>
      <c r="AL32" s="241">
        <v>0.48</v>
      </c>
      <c r="AM32" s="241">
        <v>0.37</v>
      </c>
      <c r="AP32" s="341" t="s">
        <v>577</v>
      </c>
      <c r="AQ32" s="152" t="s">
        <v>576</v>
      </c>
      <c r="AS32" s="340" t="s">
        <v>478</v>
      </c>
      <c r="AT32" s="409" t="s">
        <v>477</v>
      </c>
      <c r="AU32" s="286" t="s">
        <v>192</v>
      </c>
      <c r="AV32" s="518" t="s">
        <v>875</v>
      </c>
      <c r="AW32" s="520">
        <v>0</v>
      </c>
      <c r="AX32" s="518" t="s">
        <v>889</v>
      </c>
    </row>
    <row r="33" spans="1:51" ht="15.75" customHeight="1" x14ac:dyDescent="0.25">
      <c r="A33" s="199" t="s">
        <v>248</v>
      </c>
      <c r="B33" s="199" t="s">
        <v>248</v>
      </c>
      <c r="C33" s="201" t="s">
        <v>218</v>
      </c>
      <c r="D33" s="215">
        <f t="shared" si="4"/>
        <v>7.12</v>
      </c>
      <c r="E33" s="573">
        <f>AN7</f>
        <v>7.96</v>
      </c>
      <c r="F33" s="534">
        <f>AM8</f>
        <v>8.75</v>
      </c>
      <c r="G33" s="200" t="s">
        <v>218</v>
      </c>
      <c r="H33" s="532" t="s">
        <v>65</v>
      </c>
      <c r="I33" s="200" t="s">
        <v>218</v>
      </c>
      <c r="J33" s="579">
        <f t="shared" si="6"/>
        <v>23.25</v>
      </c>
      <c r="K33" s="579">
        <v>29</v>
      </c>
      <c r="L33" s="261" t="s">
        <v>218</v>
      </c>
      <c r="M33" s="261" t="s">
        <v>218</v>
      </c>
      <c r="N33" s="579" t="s">
        <v>218</v>
      </c>
      <c r="O33" s="261" t="s">
        <v>218</v>
      </c>
      <c r="P33" s="579" t="s">
        <v>218</v>
      </c>
      <c r="Q33" s="261" t="s">
        <v>218</v>
      </c>
      <c r="R33" s="261" t="s">
        <v>50</v>
      </c>
      <c r="S33" s="577" t="s">
        <v>53</v>
      </c>
      <c r="T33" s="387">
        <v>36</v>
      </c>
      <c r="U33" s="502" t="s">
        <v>64</v>
      </c>
      <c r="V33" s="205" t="s">
        <v>63</v>
      </c>
      <c r="W33" s="204" t="s">
        <v>64</v>
      </c>
      <c r="X33" s="506" t="s">
        <v>63</v>
      </c>
      <c r="Y33" s="229" t="s">
        <v>868</v>
      </c>
      <c r="Z33" s="229">
        <v>0.75</v>
      </c>
      <c r="AA33" s="229">
        <v>0.98</v>
      </c>
      <c r="AB33" s="229">
        <v>738</v>
      </c>
      <c r="AC33" s="229" t="s">
        <v>50</v>
      </c>
      <c r="AD33" s="229" t="s">
        <v>65</v>
      </c>
      <c r="AE33" s="152">
        <v>0</v>
      </c>
      <c r="AJ33" s="152">
        <v>1</v>
      </c>
      <c r="AK33" s="240" t="s">
        <v>35</v>
      </c>
      <c r="AL33" s="241">
        <v>0.98</v>
      </c>
      <c r="AM33" s="241">
        <v>0.75</v>
      </c>
      <c r="AP33" s="341" t="s">
        <v>568</v>
      </c>
      <c r="AQ33" s="152" t="s">
        <v>567</v>
      </c>
      <c r="AS33" s="340" t="s">
        <v>497</v>
      </c>
      <c r="AT33" s="409" t="s">
        <v>496</v>
      </c>
      <c r="AU33" s="286" t="s">
        <v>211</v>
      </c>
      <c r="AV33" s="518" t="s">
        <v>876</v>
      </c>
      <c r="AW33" s="520">
        <v>0</v>
      </c>
      <c r="AX33" s="518" t="s">
        <v>890</v>
      </c>
    </row>
    <row r="34" spans="1:51" ht="15.75" customHeight="1" thickBot="1" x14ac:dyDescent="0.3">
      <c r="A34" s="199" t="s">
        <v>268</v>
      </c>
      <c r="B34" s="342" t="s">
        <v>268</v>
      </c>
      <c r="C34" s="201" t="s">
        <v>218</v>
      </c>
      <c r="D34" s="215">
        <f t="shared" ref="D34:D39" si="7">$AN$6</f>
        <v>7.12</v>
      </c>
      <c r="E34" s="573">
        <f>AN7</f>
        <v>7.96</v>
      </c>
      <c r="F34" s="534">
        <f>AM8</f>
        <v>8.75</v>
      </c>
      <c r="G34" s="200" t="s">
        <v>218</v>
      </c>
      <c r="H34" s="532" t="s">
        <v>66</v>
      </c>
      <c r="I34" s="200" t="s">
        <v>218</v>
      </c>
      <c r="J34" s="579">
        <f t="shared" si="6"/>
        <v>23.25</v>
      </c>
      <c r="K34" s="579">
        <v>29</v>
      </c>
      <c r="L34" s="261" t="s">
        <v>218</v>
      </c>
      <c r="M34" s="261" t="s">
        <v>218</v>
      </c>
      <c r="N34" s="261" t="s">
        <v>218</v>
      </c>
      <c r="O34" s="261" t="s">
        <v>218</v>
      </c>
      <c r="P34" s="579" t="s">
        <v>218</v>
      </c>
      <c r="Q34" s="261" t="s">
        <v>218</v>
      </c>
      <c r="R34" s="261" t="s">
        <v>50</v>
      </c>
      <c r="S34" s="577" t="s">
        <v>53</v>
      </c>
      <c r="T34" s="387">
        <v>36</v>
      </c>
      <c r="U34" s="503" t="s">
        <v>64</v>
      </c>
      <c r="V34" s="254" t="s">
        <v>63</v>
      </c>
      <c r="W34" s="255" t="s">
        <v>64</v>
      </c>
      <c r="X34" s="507" t="s">
        <v>63</v>
      </c>
      <c r="Y34" s="229" t="s">
        <v>869</v>
      </c>
      <c r="Z34" s="229">
        <v>0.75</v>
      </c>
      <c r="AA34" s="229">
        <v>0.98</v>
      </c>
      <c r="AB34" s="229">
        <v>738</v>
      </c>
      <c r="AC34" s="229" t="s">
        <v>50</v>
      </c>
      <c r="AD34" s="229" t="s">
        <v>65</v>
      </c>
      <c r="AE34" s="152">
        <v>0</v>
      </c>
      <c r="AJ34" s="152">
        <v>1</v>
      </c>
      <c r="AK34" s="240" t="s">
        <v>36</v>
      </c>
      <c r="AL34" s="241">
        <v>0.9</v>
      </c>
      <c r="AM34" s="241">
        <v>0.69</v>
      </c>
      <c r="AP34" s="341" t="s">
        <v>566</v>
      </c>
      <c r="AQ34" s="152" t="s">
        <v>565</v>
      </c>
      <c r="AS34" s="340" t="s">
        <v>504</v>
      </c>
      <c r="AT34" s="409" t="s">
        <v>503</v>
      </c>
      <c r="AU34" s="242" t="s">
        <v>305</v>
      </c>
      <c r="AV34" s="518" t="s">
        <v>870</v>
      </c>
      <c r="AW34" s="520">
        <v>0</v>
      </c>
      <c r="AX34" s="518" t="s">
        <v>891</v>
      </c>
    </row>
    <row r="35" spans="1:51" ht="15.75" customHeight="1" thickBot="1" x14ac:dyDescent="0.3">
      <c r="A35" s="199" t="s">
        <v>915</v>
      </c>
      <c r="B35" s="199" t="s">
        <v>915</v>
      </c>
      <c r="C35" s="201" t="s">
        <v>218</v>
      </c>
      <c r="D35" s="215">
        <f t="shared" si="7"/>
        <v>7.12</v>
      </c>
      <c r="E35" s="573">
        <f>AN7</f>
        <v>7.96</v>
      </c>
      <c r="F35" s="534">
        <f>AM8</f>
        <v>8.75</v>
      </c>
      <c r="G35" s="200" t="s">
        <v>218</v>
      </c>
      <c r="H35" s="532" t="s">
        <v>65</v>
      </c>
      <c r="I35" s="200" t="s">
        <v>218</v>
      </c>
      <c r="J35" s="579">
        <f t="shared" si="6"/>
        <v>23.25</v>
      </c>
      <c r="K35" s="579">
        <v>29</v>
      </c>
      <c r="L35" s="261" t="s">
        <v>218</v>
      </c>
      <c r="M35" s="261" t="s">
        <v>218</v>
      </c>
      <c r="N35" s="261" t="s">
        <v>218</v>
      </c>
      <c r="O35" s="261" t="s">
        <v>218</v>
      </c>
      <c r="P35" s="579" t="s">
        <v>218</v>
      </c>
      <c r="Q35" s="261" t="s">
        <v>218</v>
      </c>
      <c r="R35" s="261" t="s">
        <v>50</v>
      </c>
      <c r="S35" s="577" t="s">
        <v>53</v>
      </c>
      <c r="T35" s="387">
        <v>36</v>
      </c>
      <c r="U35" s="203" t="s">
        <v>63</v>
      </c>
      <c r="V35" s="204" t="s">
        <v>64</v>
      </c>
      <c r="W35" s="204" t="s">
        <v>64</v>
      </c>
      <c r="X35" s="204" t="s">
        <v>64</v>
      </c>
      <c r="Y35" s="229" t="s">
        <v>164</v>
      </c>
      <c r="Z35" s="229">
        <v>0.92</v>
      </c>
      <c r="AA35" s="229">
        <v>1.2</v>
      </c>
      <c r="AB35" s="229">
        <v>574</v>
      </c>
      <c r="AC35" s="229" t="s">
        <v>50</v>
      </c>
      <c r="AD35" s="229" t="s">
        <v>65</v>
      </c>
      <c r="AE35" s="152">
        <v>0</v>
      </c>
      <c r="AJ35" s="152">
        <v>1</v>
      </c>
      <c r="AK35" s="240" t="s">
        <v>37</v>
      </c>
      <c r="AL35" s="244">
        <v>1.2</v>
      </c>
      <c r="AM35" s="244">
        <v>0.92</v>
      </c>
      <c r="AP35" s="341" t="s">
        <v>572</v>
      </c>
      <c r="AQ35" s="152" t="s">
        <v>571</v>
      </c>
      <c r="AS35" s="340" t="s">
        <v>409</v>
      </c>
      <c r="AT35" s="409" t="s">
        <v>408</v>
      </c>
      <c r="AU35" s="243" t="s">
        <v>257</v>
      </c>
      <c r="AV35" s="518" t="s">
        <v>871</v>
      </c>
      <c r="AW35" s="520">
        <v>0</v>
      </c>
      <c r="AX35" s="518" t="s">
        <v>892</v>
      </c>
    </row>
    <row r="36" spans="1:51" ht="15.75" customHeight="1" x14ac:dyDescent="0.25">
      <c r="A36" s="199" t="s">
        <v>916</v>
      </c>
      <c r="B36" s="199" t="s">
        <v>916</v>
      </c>
      <c r="C36" s="201" t="s">
        <v>218</v>
      </c>
      <c r="D36" s="215">
        <f t="shared" si="7"/>
        <v>7.12</v>
      </c>
      <c r="E36" s="573">
        <f>AN7</f>
        <v>7.96</v>
      </c>
      <c r="F36" s="534">
        <f>AM8</f>
        <v>8.75</v>
      </c>
      <c r="G36" s="200" t="s">
        <v>218</v>
      </c>
      <c r="H36" s="532" t="s">
        <v>65</v>
      </c>
      <c r="I36" s="200" t="s">
        <v>218</v>
      </c>
      <c r="J36" s="579">
        <f t="shared" si="6"/>
        <v>23.25</v>
      </c>
      <c r="K36" s="579">
        <v>29</v>
      </c>
      <c r="L36" s="261" t="s">
        <v>218</v>
      </c>
      <c r="M36" s="261" t="s">
        <v>218</v>
      </c>
      <c r="N36" s="261" t="s">
        <v>218</v>
      </c>
      <c r="O36" s="261" t="s">
        <v>218</v>
      </c>
      <c r="P36" s="261" t="s">
        <v>218</v>
      </c>
      <c r="Q36" s="261" t="s">
        <v>218</v>
      </c>
      <c r="R36" s="261" t="s">
        <v>50</v>
      </c>
      <c r="S36" s="259" t="s">
        <v>866</v>
      </c>
      <c r="T36" s="508">
        <v>36</v>
      </c>
      <c r="U36" s="203" t="s">
        <v>63</v>
      </c>
      <c r="V36" s="263" t="s">
        <v>64</v>
      </c>
      <c r="W36" s="263" t="s">
        <v>64</v>
      </c>
      <c r="X36" s="263" t="s">
        <v>64</v>
      </c>
      <c r="Y36" s="229" t="s">
        <v>162</v>
      </c>
      <c r="Z36" s="229">
        <v>0.92</v>
      </c>
      <c r="AA36" s="229">
        <v>1.2</v>
      </c>
      <c r="AB36" s="229">
        <v>574</v>
      </c>
      <c r="AC36" s="229" t="s">
        <v>50</v>
      </c>
      <c r="AD36" s="229" t="s">
        <v>65</v>
      </c>
      <c r="AE36" s="152">
        <v>0</v>
      </c>
      <c r="AJ36" s="152">
        <v>1</v>
      </c>
      <c r="AK36" s="240" t="s">
        <v>38</v>
      </c>
      <c r="AL36" s="245">
        <v>0.78</v>
      </c>
      <c r="AM36" s="245">
        <v>0.6</v>
      </c>
      <c r="AP36" s="341" t="s">
        <v>997</v>
      </c>
      <c r="AQ36" s="152" t="s">
        <v>573</v>
      </c>
      <c r="AS36" s="355" t="s">
        <v>998</v>
      </c>
      <c r="AT36" s="409" t="s">
        <v>416</v>
      </c>
      <c r="AU36" s="308" t="s">
        <v>996</v>
      </c>
      <c r="AV36" s="518" t="s">
        <v>872</v>
      </c>
      <c r="AW36" s="520">
        <v>0</v>
      </c>
      <c r="AX36" s="518" t="s">
        <v>893</v>
      </c>
    </row>
    <row r="37" spans="1:51" ht="15.75" customHeight="1" x14ac:dyDescent="0.25">
      <c r="A37" s="199" t="s">
        <v>962</v>
      </c>
      <c r="B37" s="199" t="s">
        <v>962</v>
      </c>
      <c r="C37" s="201" t="s">
        <v>218</v>
      </c>
      <c r="D37" s="215">
        <f t="shared" si="7"/>
        <v>7.12</v>
      </c>
      <c r="E37" s="573">
        <f>AN7</f>
        <v>7.96</v>
      </c>
      <c r="F37" s="534">
        <f>AM8</f>
        <v>8.75</v>
      </c>
      <c r="G37" s="200" t="s">
        <v>218</v>
      </c>
      <c r="H37" s="532" t="s">
        <v>75</v>
      </c>
      <c r="I37" s="200" t="s">
        <v>218</v>
      </c>
      <c r="J37" s="579">
        <f t="shared" si="6"/>
        <v>23.25</v>
      </c>
      <c r="K37" s="579">
        <v>29</v>
      </c>
      <c r="L37" s="261" t="s">
        <v>218</v>
      </c>
      <c r="M37" s="261" t="s">
        <v>218</v>
      </c>
      <c r="N37" s="261" t="s">
        <v>218</v>
      </c>
      <c r="O37" s="261" t="s">
        <v>218</v>
      </c>
      <c r="P37" s="261" t="s">
        <v>218</v>
      </c>
      <c r="Q37" s="261" t="s">
        <v>218</v>
      </c>
      <c r="R37" s="261" t="s">
        <v>50</v>
      </c>
      <c r="S37" s="577" t="s">
        <v>866</v>
      </c>
      <c r="T37" s="387">
        <v>36</v>
      </c>
      <c r="U37" s="203" t="s">
        <v>63</v>
      </c>
      <c r="V37" s="263" t="s">
        <v>64</v>
      </c>
      <c r="W37" s="263" t="s">
        <v>64</v>
      </c>
      <c r="X37" s="263" t="s">
        <v>64</v>
      </c>
      <c r="Y37" s="229" t="s">
        <v>328</v>
      </c>
      <c r="Z37" s="229">
        <v>0.69</v>
      </c>
      <c r="AA37" s="229">
        <v>0.9</v>
      </c>
      <c r="AB37" s="229">
        <v>574</v>
      </c>
      <c r="AC37" s="229" t="s">
        <v>50</v>
      </c>
      <c r="AD37" s="229" t="s">
        <v>65</v>
      </c>
      <c r="AE37" s="152">
        <v>0</v>
      </c>
      <c r="AJ37" s="152">
        <v>1</v>
      </c>
      <c r="AK37" s="240" t="s">
        <v>39</v>
      </c>
      <c r="AL37" s="244">
        <v>0.61</v>
      </c>
      <c r="AM37" s="244">
        <v>0.47</v>
      </c>
      <c r="AP37" s="341" t="s">
        <v>558</v>
      </c>
      <c r="AQ37" s="152" t="s">
        <v>557</v>
      </c>
      <c r="AS37" s="340" t="s">
        <v>407</v>
      </c>
      <c r="AT37" s="409" t="s">
        <v>406</v>
      </c>
      <c r="AU37" s="303" t="s">
        <v>306</v>
      </c>
      <c r="AV37" s="518" t="s">
        <v>873</v>
      </c>
      <c r="AW37" s="520">
        <v>0</v>
      </c>
      <c r="AX37" s="518" t="s">
        <v>894</v>
      </c>
    </row>
    <row r="38" spans="1:51" ht="15.75" customHeight="1" x14ac:dyDescent="0.25">
      <c r="A38" s="199" t="s">
        <v>963</v>
      </c>
      <c r="B38" s="199" t="s">
        <v>963</v>
      </c>
      <c r="C38" s="201" t="s">
        <v>218</v>
      </c>
      <c r="D38" s="215">
        <f t="shared" si="7"/>
        <v>7.12</v>
      </c>
      <c r="E38" s="573">
        <f>AN7</f>
        <v>7.96</v>
      </c>
      <c r="F38" s="534">
        <f>AM8</f>
        <v>8.75</v>
      </c>
      <c r="G38" s="200" t="s">
        <v>218</v>
      </c>
      <c r="H38" s="532" t="s">
        <v>75</v>
      </c>
      <c r="I38" s="200" t="s">
        <v>218</v>
      </c>
      <c r="J38" s="579">
        <f t="shared" si="6"/>
        <v>23.25</v>
      </c>
      <c r="K38" s="579">
        <v>29</v>
      </c>
      <c r="L38" s="261" t="s">
        <v>218</v>
      </c>
      <c r="M38" s="261" t="s">
        <v>218</v>
      </c>
      <c r="N38" s="261" t="s">
        <v>218</v>
      </c>
      <c r="O38" s="261" t="s">
        <v>218</v>
      </c>
      <c r="P38" s="261" t="s">
        <v>218</v>
      </c>
      <c r="Q38" s="261" t="s">
        <v>218</v>
      </c>
      <c r="R38" s="261" t="s">
        <v>50</v>
      </c>
      <c r="S38" s="577" t="s">
        <v>866</v>
      </c>
      <c r="T38" s="387">
        <v>36</v>
      </c>
      <c r="U38" s="203" t="s">
        <v>63</v>
      </c>
      <c r="V38" s="263" t="s">
        <v>64</v>
      </c>
      <c r="W38" s="263" t="s">
        <v>64</v>
      </c>
      <c r="X38" s="263" t="s">
        <v>64</v>
      </c>
      <c r="Y38" s="229" t="s">
        <v>300</v>
      </c>
      <c r="Z38" s="229">
        <v>0.92</v>
      </c>
      <c r="AA38" s="229">
        <v>1.2</v>
      </c>
      <c r="AB38" s="229">
        <v>574</v>
      </c>
      <c r="AC38" s="229" t="s">
        <v>50</v>
      </c>
      <c r="AD38" s="229" t="s">
        <v>65</v>
      </c>
      <c r="AE38" s="152">
        <v>0</v>
      </c>
      <c r="AJ38" s="152">
        <v>1</v>
      </c>
      <c r="AK38" s="240" t="s">
        <v>40</v>
      </c>
      <c r="AL38" s="245">
        <v>0.92</v>
      </c>
      <c r="AM38" s="245">
        <v>0.71</v>
      </c>
      <c r="AP38" s="341" t="s">
        <v>687</v>
      </c>
      <c r="AQ38" s="152" t="s">
        <v>686</v>
      </c>
      <c r="AS38" s="340" t="s">
        <v>411</v>
      </c>
      <c r="AT38" s="409" t="s">
        <v>410</v>
      </c>
      <c r="AU38" s="303" t="s">
        <v>307</v>
      </c>
      <c r="AV38" s="518" t="s">
        <v>860</v>
      </c>
      <c r="AW38" s="520">
        <v>0</v>
      </c>
      <c r="AX38" s="518" t="s">
        <v>829</v>
      </c>
    </row>
    <row r="39" spans="1:51" ht="15.75" customHeight="1" thickBot="1" x14ac:dyDescent="0.3">
      <c r="A39" s="247" t="s">
        <v>964</v>
      </c>
      <c r="B39" s="247" t="s">
        <v>964</v>
      </c>
      <c r="C39" s="250" t="s">
        <v>218</v>
      </c>
      <c r="D39" s="249">
        <f t="shared" si="7"/>
        <v>7.12</v>
      </c>
      <c r="E39" s="529">
        <f>AN6</f>
        <v>7.12</v>
      </c>
      <c r="F39" s="578">
        <f>AM7</f>
        <v>7.62</v>
      </c>
      <c r="G39" s="248" t="s">
        <v>218</v>
      </c>
      <c r="H39" s="251" t="s">
        <v>75</v>
      </c>
      <c r="I39" s="248" t="s">
        <v>218</v>
      </c>
      <c r="J39" s="580">
        <f t="shared" si="6"/>
        <v>23.25</v>
      </c>
      <c r="K39" s="580">
        <v>29</v>
      </c>
      <c r="L39" s="268" t="s">
        <v>218</v>
      </c>
      <c r="M39" s="268" t="s">
        <v>218</v>
      </c>
      <c r="N39" s="268" t="s">
        <v>218</v>
      </c>
      <c r="O39" s="268" t="s">
        <v>218</v>
      </c>
      <c r="P39" s="268" t="s">
        <v>218</v>
      </c>
      <c r="Q39" s="268" t="s">
        <v>218</v>
      </c>
      <c r="R39" s="268" t="s">
        <v>50</v>
      </c>
      <c r="S39" s="269" t="s">
        <v>866</v>
      </c>
      <c r="T39" s="509">
        <v>36</v>
      </c>
      <c r="U39" s="203" t="s">
        <v>63</v>
      </c>
      <c r="V39" s="263" t="s">
        <v>64</v>
      </c>
      <c r="W39" s="263" t="s">
        <v>64</v>
      </c>
      <c r="X39" s="263" t="s">
        <v>64</v>
      </c>
      <c r="Y39" s="229" t="s">
        <v>301</v>
      </c>
      <c r="Z39" s="229">
        <v>0.92</v>
      </c>
      <c r="AA39" s="229">
        <v>1.2</v>
      </c>
      <c r="AB39" s="229">
        <v>574</v>
      </c>
      <c r="AC39" s="229" t="s">
        <v>50</v>
      </c>
      <c r="AD39" s="229" t="s">
        <v>65</v>
      </c>
      <c r="AE39" s="152">
        <v>0</v>
      </c>
      <c r="AJ39" s="152">
        <v>1</v>
      </c>
      <c r="AK39" s="256"/>
      <c r="AP39" s="341" t="s">
        <v>604</v>
      </c>
      <c r="AQ39" s="152" t="s">
        <v>603</v>
      </c>
      <c r="AS39" s="340" t="s">
        <v>707</v>
      </c>
      <c r="AT39" s="409" t="s">
        <v>487</v>
      </c>
      <c r="AU39" s="303" t="s">
        <v>201</v>
      </c>
      <c r="AV39" s="518" t="s">
        <v>861</v>
      </c>
      <c r="AW39" s="520">
        <v>0</v>
      </c>
      <c r="AX39" s="518" t="s">
        <v>831</v>
      </c>
    </row>
    <row r="40" spans="1:51" ht="15.75" customHeight="1" thickBot="1" x14ac:dyDescent="0.3">
      <c r="A40" s="199" t="s">
        <v>965</v>
      </c>
      <c r="B40" s="199" t="s">
        <v>965</v>
      </c>
      <c r="C40" s="215">
        <f>AL14</f>
        <v>6.75</v>
      </c>
      <c r="D40" s="215">
        <f>AL15</f>
        <v>6.85</v>
      </c>
      <c r="E40" s="215">
        <f>AL16</f>
        <v>7.71</v>
      </c>
      <c r="F40" s="201">
        <f>AL17</f>
        <v>8.25</v>
      </c>
      <c r="G40" s="200" t="s">
        <v>218</v>
      </c>
      <c r="H40" s="532" t="s">
        <v>65</v>
      </c>
      <c r="I40" s="201" t="s">
        <v>218</v>
      </c>
      <c r="J40" s="260">
        <f>AL43</f>
        <v>23.25</v>
      </c>
      <c r="K40" s="532">
        <v>29</v>
      </c>
      <c r="L40" s="532">
        <f>$AL$45</f>
        <v>31.5</v>
      </c>
      <c r="M40" s="532">
        <f>$AL$101</f>
        <v>33</v>
      </c>
      <c r="N40" s="532">
        <f t="shared" ref="N40:Q41" si="8">$AL$101</f>
        <v>33</v>
      </c>
      <c r="O40" s="532">
        <f t="shared" si="8"/>
        <v>33</v>
      </c>
      <c r="P40" s="532">
        <f t="shared" si="8"/>
        <v>33</v>
      </c>
      <c r="Q40" s="532">
        <f t="shared" si="8"/>
        <v>33</v>
      </c>
      <c r="R40" s="261" t="s">
        <v>50</v>
      </c>
      <c r="S40" s="259" t="s">
        <v>51</v>
      </c>
      <c r="T40" s="189">
        <v>36</v>
      </c>
      <c r="U40" s="270" t="s">
        <v>63</v>
      </c>
      <c r="V40" s="255" t="s">
        <v>64</v>
      </c>
      <c r="W40" s="255" t="s">
        <v>64</v>
      </c>
      <c r="X40" s="255" t="s">
        <v>64</v>
      </c>
      <c r="Y40" s="229" t="s">
        <v>200</v>
      </c>
      <c r="Z40" s="229">
        <v>0.69</v>
      </c>
      <c r="AA40" s="229">
        <v>0.9</v>
      </c>
      <c r="AB40" s="229">
        <v>574</v>
      </c>
      <c r="AC40" s="229" t="s">
        <v>50</v>
      </c>
      <c r="AD40" s="229" t="s">
        <v>65</v>
      </c>
      <c r="AE40" s="152">
        <v>0</v>
      </c>
      <c r="AJ40" s="152">
        <v>2</v>
      </c>
      <c r="AK40" s="236" t="s">
        <v>21</v>
      </c>
      <c r="AL40" s="238" t="s">
        <v>24</v>
      </c>
      <c r="AP40" s="341" t="s">
        <v>530</v>
      </c>
      <c r="AQ40" s="152" t="s">
        <v>590</v>
      </c>
      <c r="AS40" s="340" t="s">
        <v>365</v>
      </c>
      <c r="AT40" s="409" t="s">
        <v>364</v>
      </c>
      <c r="AU40" s="303" t="s">
        <v>203</v>
      </c>
      <c r="AV40" s="518" t="s">
        <v>862</v>
      </c>
      <c r="AW40" s="520">
        <v>0</v>
      </c>
      <c r="AX40" s="518" t="s">
        <v>830</v>
      </c>
    </row>
    <row r="41" spans="1:51" ht="15.75" customHeight="1" x14ac:dyDescent="0.25">
      <c r="A41" s="199" t="s">
        <v>966</v>
      </c>
      <c r="B41" s="199" t="s">
        <v>966</v>
      </c>
      <c r="C41" s="215">
        <f>AM14</f>
        <v>7</v>
      </c>
      <c r="D41" s="215">
        <f>AM15</f>
        <v>7.09</v>
      </c>
      <c r="E41" s="215">
        <f>AM16</f>
        <v>7.95</v>
      </c>
      <c r="F41" s="201">
        <f>AM17</f>
        <v>8.75</v>
      </c>
      <c r="G41" s="200" t="s">
        <v>218</v>
      </c>
      <c r="H41" s="171" t="s">
        <v>75</v>
      </c>
      <c r="I41" s="201" t="s">
        <v>218</v>
      </c>
      <c r="J41" s="260">
        <f>AL43</f>
        <v>23.25</v>
      </c>
      <c r="K41" s="532">
        <v>29</v>
      </c>
      <c r="L41" s="532" t="s">
        <v>218</v>
      </c>
      <c r="M41" s="532">
        <f>$AL$101</f>
        <v>33</v>
      </c>
      <c r="N41" s="532">
        <f t="shared" si="8"/>
        <v>33</v>
      </c>
      <c r="O41" s="532">
        <f t="shared" si="8"/>
        <v>33</v>
      </c>
      <c r="P41" s="532">
        <f t="shared" si="8"/>
        <v>33</v>
      </c>
      <c r="Q41" s="532">
        <f t="shared" si="8"/>
        <v>33</v>
      </c>
      <c r="R41" s="261" t="s">
        <v>50</v>
      </c>
      <c r="S41" s="265" t="s">
        <v>52</v>
      </c>
      <c r="T41" s="171">
        <v>36</v>
      </c>
      <c r="U41" s="271" t="s">
        <v>64</v>
      </c>
      <c r="V41" s="205" t="s">
        <v>63</v>
      </c>
      <c r="W41" s="271" t="s">
        <v>64</v>
      </c>
      <c r="X41" s="271" t="s">
        <v>64</v>
      </c>
      <c r="Y41" s="229" t="s">
        <v>202</v>
      </c>
      <c r="Z41" s="229">
        <v>0.69</v>
      </c>
      <c r="AA41" s="229">
        <v>0.9</v>
      </c>
      <c r="AB41" s="229">
        <v>574</v>
      </c>
      <c r="AC41" s="229" t="s">
        <v>50</v>
      </c>
      <c r="AD41" s="229" t="s">
        <v>65</v>
      </c>
      <c r="AE41" s="152">
        <v>0</v>
      </c>
      <c r="AJ41" s="152">
        <v>2</v>
      </c>
      <c r="AP41" s="341" t="s">
        <v>589</v>
      </c>
      <c r="AQ41" s="152" t="s">
        <v>588</v>
      </c>
      <c r="AS41" s="373" t="s">
        <v>701</v>
      </c>
      <c r="AT41" s="414">
        <v>101010101000001</v>
      </c>
      <c r="AU41" s="286" t="s">
        <v>189</v>
      </c>
      <c r="AV41" s="518" t="s">
        <v>834</v>
      </c>
      <c r="AW41" s="520">
        <v>0</v>
      </c>
      <c r="AX41" s="518" t="s">
        <v>454</v>
      </c>
    </row>
    <row r="42" spans="1:51" ht="15.75" customHeight="1" thickBot="1" x14ac:dyDescent="0.3">
      <c r="A42" s="199" t="s">
        <v>967</v>
      </c>
      <c r="B42" s="199" t="s">
        <v>967</v>
      </c>
      <c r="C42" s="215">
        <f>AM14</f>
        <v>7</v>
      </c>
      <c r="D42" s="215">
        <f>AM15</f>
        <v>7.09</v>
      </c>
      <c r="E42" s="215">
        <f>AM15</f>
        <v>7.09</v>
      </c>
      <c r="F42" s="201">
        <f>AM17</f>
        <v>8.75</v>
      </c>
      <c r="G42" s="200" t="s">
        <v>218</v>
      </c>
      <c r="H42" s="171" t="s">
        <v>75</v>
      </c>
      <c r="I42" s="201" t="s">
        <v>218</v>
      </c>
      <c r="J42" s="260">
        <f>AL43</f>
        <v>23.25</v>
      </c>
      <c r="K42" s="532">
        <v>29</v>
      </c>
      <c r="L42" s="532" t="s">
        <v>218</v>
      </c>
      <c r="M42" s="532" t="s">
        <v>218</v>
      </c>
      <c r="N42" s="532" t="s">
        <v>218</v>
      </c>
      <c r="O42" s="532" t="s">
        <v>218</v>
      </c>
      <c r="P42" s="532" t="s">
        <v>218</v>
      </c>
      <c r="Q42" s="532" t="s">
        <v>218</v>
      </c>
      <c r="R42" s="261" t="s">
        <v>50</v>
      </c>
      <c r="S42" s="265" t="s">
        <v>52</v>
      </c>
      <c r="T42" s="171">
        <v>36</v>
      </c>
      <c r="U42" s="233" t="s">
        <v>64</v>
      </c>
      <c r="V42" s="254" t="s">
        <v>63</v>
      </c>
      <c r="W42" s="233" t="s">
        <v>64</v>
      </c>
      <c r="X42" s="233" t="s">
        <v>64</v>
      </c>
      <c r="Y42" s="229" t="s">
        <v>298</v>
      </c>
      <c r="Z42" s="229">
        <v>0.69</v>
      </c>
      <c r="AA42" s="229">
        <v>0.9</v>
      </c>
      <c r="AB42" s="229">
        <v>574</v>
      </c>
      <c r="AC42" s="229" t="s">
        <v>50</v>
      </c>
      <c r="AD42" s="229" t="s">
        <v>65</v>
      </c>
      <c r="AE42" s="152">
        <v>0</v>
      </c>
      <c r="AJ42" s="152">
        <v>2</v>
      </c>
      <c r="AK42" s="239" t="s">
        <v>31</v>
      </c>
      <c r="AL42" s="239" t="s">
        <v>41</v>
      </c>
      <c r="AP42" s="341" t="s">
        <v>999</v>
      </c>
      <c r="AQ42" s="152" t="s">
        <v>601</v>
      </c>
      <c r="AS42" s="340" t="s">
        <v>419</v>
      </c>
      <c r="AT42" s="409" t="s">
        <v>418</v>
      </c>
      <c r="AU42" s="264" t="s">
        <v>204</v>
      </c>
      <c r="AV42" s="518" t="s">
        <v>835</v>
      </c>
      <c r="AW42" s="520">
        <v>0</v>
      </c>
      <c r="AX42" s="518" t="s">
        <v>458</v>
      </c>
    </row>
    <row r="43" spans="1:51" ht="15.75" customHeight="1" thickBot="1" x14ac:dyDescent="0.3">
      <c r="A43" s="199" t="s">
        <v>968</v>
      </c>
      <c r="B43" s="199" t="s">
        <v>968</v>
      </c>
      <c r="C43" s="215">
        <f>AM14</f>
        <v>7</v>
      </c>
      <c r="D43" s="215">
        <f>AM15</f>
        <v>7.09</v>
      </c>
      <c r="E43" s="215">
        <f>AM16</f>
        <v>7.95</v>
      </c>
      <c r="F43" s="201">
        <f>$AM$17</f>
        <v>8.75</v>
      </c>
      <c r="G43" s="200" t="s">
        <v>218</v>
      </c>
      <c r="H43" s="171" t="s">
        <v>75</v>
      </c>
      <c r="I43" s="201" t="s">
        <v>218</v>
      </c>
      <c r="J43" s="260">
        <f>AL43</f>
        <v>23.25</v>
      </c>
      <c r="K43" s="532">
        <v>29</v>
      </c>
      <c r="L43" s="532" t="s">
        <v>218</v>
      </c>
      <c r="M43" s="532">
        <f t="shared" ref="M43:Q44" si="9">$AL$101</f>
        <v>33</v>
      </c>
      <c r="N43" s="532">
        <f t="shared" si="9"/>
        <v>33</v>
      </c>
      <c r="O43" s="532">
        <f t="shared" si="9"/>
        <v>33</v>
      </c>
      <c r="P43" s="532">
        <f t="shared" si="9"/>
        <v>33</v>
      </c>
      <c r="Q43" s="532">
        <f t="shared" si="9"/>
        <v>33</v>
      </c>
      <c r="R43" s="261" t="s">
        <v>50</v>
      </c>
      <c r="S43" s="265" t="s">
        <v>52</v>
      </c>
      <c r="T43" s="171">
        <v>36</v>
      </c>
      <c r="U43" s="271" t="s">
        <v>64</v>
      </c>
      <c r="V43" s="193" t="s">
        <v>63</v>
      </c>
      <c r="W43" s="192" t="s">
        <v>64</v>
      </c>
      <c r="X43" s="192" t="s">
        <v>64</v>
      </c>
      <c r="Y43" s="229" t="s">
        <v>989</v>
      </c>
      <c r="Z43" s="229">
        <v>0.69</v>
      </c>
      <c r="AA43" s="229">
        <v>0.9</v>
      </c>
      <c r="AB43" s="229">
        <v>574</v>
      </c>
      <c r="AC43" s="229" t="s">
        <v>50</v>
      </c>
      <c r="AD43" s="229" t="s">
        <v>65</v>
      </c>
      <c r="AE43" s="152">
        <v>0</v>
      </c>
      <c r="AJ43" s="152">
        <v>2</v>
      </c>
      <c r="AK43" s="240" t="s">
        <v>42</v>
      </c>
      <c r="AL43" s="266">
        <v>23.25</v>
      </c>
      <c r="AP43" s="341" t="s">
        <v>582</v>
      </c>
      <c r="AQ43" s="152" t="s">
        <v>581</v>
      </c>
      <c r="AS43" s="373" t="s">
        <v>701</v>
      </c>
      <c r="AT43" s="414">
        <v>101010101000001</v>
      </c>
      <c r="AU43" s="229" t="s">
        <v>191</v>
      </c>
      <c r="AV43" s="518" t="s">
        <v>836</v>
      </c>
      <c r="AW43" s="520">
        <v>0</v>
      </c>
      <c r="AX43" s="518" t="s">
        <v>460</v>
      </c>
    </row>
    <row r="44" spans="1:51" ht="15.75" customHeight="1" x14ac:dyDescent="0.25">
      <c r="A44" s="199" t="s">
        <v>969</v>
      </c>
      <c r="B44" s="199" t="s">
        <v>969</v>
      </c>
      <c r="C44" s="215">
        <f>AM14</f>
        <v>7</v>
      </c>
      <c r="D44" s="215">
        <f>AM15</f>
        <v>7.09</v>
      </c>
      <c r="E44" s="215">
        <f>AM16</f>
        <v>7.95</v>
      </c>
      <c r="F44" s="201">
        <f>AM17</f>
        <v>8.75</v>
      </c>
      <c r="G44" s="200" t="s">
        <v>218</v>
      </c>
      <c r="H44" s="171" t="s">
        <v>75</v>
      </c>
      <c r="I44" s="201" t="s">
        <v>218</v>
      </c>
      <c r="J44" s="260">
        <f>$AL$43</f>
        <v>23.25</v>
      </c>
      <c r="K44" s="171">
        <v>29</v>
      </c>
      <c r="L44" s="189">
        <f>$AL$45</f>
        <v>31.5</v>
      </c>
      <c r="M44" s="532">
        <f t="shared" si="9"/>
        <v>33</v>
      </c>
      <c r="N44" s="532">
        <f t="shared" si="9"/>
        <v>33</v>
      </c>
      <c r="O44" s="532">
        <f t="shared" si="9"/>
        <v>33</v>
      </c>
      <c r="P44" s="532">
        <f t="shared" si="9"/>
        <v>33</v>
      </c>
      <c r="Q44" s="532">
        <f t="shared" si="9"/>
        <v>33</v>
      </c>
      <c r="R44" s="261" t="s">
        <v>50</v>
      </c>
      <c r="S44" s="265" t="s">
        <v>52</v>
      </c>
      <c r="T44" s="171">
        <v>36</v>
      </c>
      <c r="U44" s="233" t="s">
        <v>64</v>
      </c>
      <c r="V44" s="205" t="s">
        <v>63</v>
      </c>
      <c r="W44" s="204" t="s">
        <v>64</v>
      </c>
      <c r="X44" s="204" t="s">
        <v>64</v>
      </c>
      <c r="Y44" s="229" t="s">
        <v>176</v>
      </c>
      <c r="Z44" s="229">
        <v>0.92</v>
      </c>
      <c r="AA44" s="229">
        <v>1.2</v>
      </c>
      <c r="AB44" s="229">
        <v>574</v>
      </c>
      <c r="AC44" s="229" t="s">
        <v>50</v>
      </c>
      <c r="AD44" s="229" t="s">
        <v>65</v>
      </c>
      <c r="AE44" s="152">
        <v>0</v>
      </c>
      <c r="AJ44" s="152">
        <v>2</v>
      </c>
      <c r="AK44" s="240" t="s">
        <v>43</v>
      </c>
      <c r="AL44" s="266">
        <v>29</v>
      </c>
      <c r="AP44" s="152" t="s">
        <v>689</v>
      </c>
      <c r="AQ44" s="152" t="s">
        <v>688</v>
      </c>
      <c r="AS44" s="152" t="s">
        <v>708</v>
      </c>
      <c r="AT44" s="409" t="s">
        <v>709</v>
      </c>
      <c r="AU44" s="286" t="s">
        <v>904</v>
      </c>
      <c r="AV44" s="518" t="s">
        <v>837</v>
      </c>
      <c r="AW44" s="520">
        <v>0</v>
      </c>
      <c r="AX44" s="518" t="s">
        <v>462</v>
      </c>
    </row>
    <row r="45" spans="1:51" ht="15.75" customHeight="1" x14ac:dyDescent="0.25">
      <c r="A45" s="386" t="s">
        <v>972</v>
      </c>
      <c r="B45" s="386" t="s">
        <v>972</v>
      </c>
      <c r="C45" s="200" t="s">
        <v>218</v>
      </c>
      <c r="D45" s="200" t="s">
        <v>218</v>
      </c>
      <c r="E45" s="200" t="s">
        <v>218</v>
      </c>
      <c r="F45" s="201">
        <f>$AM$17</f>
        <v>8.75</v>
      </c>
      <c r="G45" s="200" t="s">
        <v>218</v>
      </c>
      <c r="H45" s="171" t="s">
        <v>75</v>
      </c>
      <c r="I45" s="200" t="s">
        <v>218</v>
      </c>
      <c r="J45" s="260">
        <f>$AL$43</f>
        <v>23.25</v>
      </c>
      <c r="K45" s="171" t="s">
        <v>218</v>
      </c>
      <c r="L45" s="171" t="s">
        <v>218</v>
      </c>
      <c r="M45" s="171" t="s">
        <v>218</v>
      </c>
      <c r="N45" s="171" t="s">
        <v>218</v>
      </c>
      <c r="O45" s="171" t="s">
        <v>218</v>
      </c>
      <c r="P45" s="171" t="s">
        <v>218</v>
      </c>
      <c r="Q45" s="171" t="s">
        <v>218</v>
      </c>
      <c r="R45" s="261" t="s">
        <v>50</v>
      </c>
      <c r="S45" s="265" t="s">
        <v>52</v>
      </c>
      <c r="T45" s="171">
        <v>36</v>
      </c>
      <c r="U45" s="233" t="s">
        <v>64</v>
      </c>
      <c r="V45" s="205" t="s">
        <v>63</v>
      </c>
      <c r="W45" s="204" t="s">
        <v>64</v>
      </c>
      <c r="X45" s="204" t="s">
        <v>64</v>
      </c>
      <c r="Y45" s="229" t="s">
        <v>303</v>
      </c>
      <c r="Z45" s="229">
        <v>0.92</v>
      </c>
      <c r="AA45" s="229">
        <v>1.2</v>
      </c>
      <c r="AB45" s="229">
        <v>574</v>
      </c>
      <c r="AC45" s="229" t="s">
        <v>50</v>
      </c>
      <c r="AD45" s="229" t="s">
        <v>65</v>
      </c>
      <c r="AE45" s="152">
        <v>0</v>
      </c>
      <c r="AJ45" s="152">
        <v>2</v>
      </c>
      <c r="AK45" s="240" t="s">
        <v>217</v>
      </c>
      <c r="AL45" s="266">
        <v>31.5</v>
      </c>
      <c r="AP45" s="394" t="s">
        <v>724</v>
      </c>
      <c r="AQ45" s="394" t="s">
        <v>561</v>
      </c>
      <c r="AS45" s="340" t="s">
        <v>475</v>
      </c>
      <c r="AT45" s="409" t="s">
        <v>474</v>
      </c>
      <c r="AU45" s="229" t="s">
        <v>179</v>
      </c>
      <c r="AV45" s="518" t="s">
        <v>838</v>
      </c>
      <c r="AW45" s="520">
        <v>0</v>
      </c>
      <c r="AX45" s="518" t="s">
        <v>350</v>
      </c>
    </row>
    <row r="46" spans="1:51" ht="15.75" customHeight="1" thickBot="1" x14ac:dyDescent="0.3">
      <c r="A46" s="386" t="s">
        <v>973</v>
      </c>
      <c r="B46" s="386" t="s">
        <v>973</v>
      </c>
      <c r="C46" s="200" t="s">
        <v>218</v>
      </c>
      <c r="D46" s="200" t="s">
        <v>218</v>
      </c>
      <c r="E46" s="200" t="s">
        <v>218</v>
      </c>
      <c r="F46" s="201">
        <f>$AM$17</f>
        <v>8.75</v>
      </c>
      <c r="G46" s="200" t="s">
        <v>218</v>
      </c>
      <c r="H46" s="171" t="s">
        <v>75</v>
      </c>
      <c r="I46" s="200" t="s">
        <v>218</v>
      </c>
      <c r="J46" s="260">
        <f>$AL$43</f>
        <v>23.25</v>
      </c>
      <c r="K46" s="171" t="s">
        <v>218</v>
      </c>
      <c r="L46" s="171" t="s">
        <v>218</v>
      </c>
      <c r="M46" s="171" t="s">
        <v>218</v>
      </c>
      <c r="N46" s="171" t="s">
        <v>218</v>
      </c>
      <c r="O46" s="171" t="s">
        <v>218</v>
      </c>
      <c r="P46" s="171" t="s">
        <v>218</v>
      </c>
      <c r="Q46" s="171" t="s">
        <v>218</v>
      </c>
      <c r="R46" s="261" t="s">
        <v>50</v>
      </c>
      <c r="S46" s="265" t="s">
        <v>52</v>
      </c>
      <c r="T46" s="171">
        <v>36</v>
      </c>
      <c r="U46" s="253" t="s">
        <v>64</v>
      </c>
      <c r="V46" s="254" t="s">
        <v>63</v>
      </c>
      <c r="W46" s="255" t="s">
        <v>64</v>
      </c>
      <c r="X46" s="255" t="s">
        <v>64</v>
      </c>
      <c r="Y46" s="229" t="s">
        <v>304</v>
      </c>
      <c r="Z46" s="229">
        <v>0.69</v>
      </c>
      <c r="AA46" s="229">
        <v>0.9</v>
      </c>
      <c r="AB46" s="229">
        <v>574</v>
      </c>
      <c r="AC46" s="229" t="s">
        <v>50</v>
      </c>
      <c r="AD46" s="229" t="s">
        <v>65</v>
      </c>
      <c r="AE46" s="152">
        <v>0</v>
      </c>
      <c r="AJ46" s="152">
        <v>3</v>
      </c>
      <c r="AK46" s="240" t="s">
        <v>44</v>
      </c>
      <c r="AL46" s="266">
        <v>5</v>
      </c>
      <c r="AP46" s="341" t="s">
        <v>1000</v>
      </c>
      <c r="AQ46" s="152" t="s">
        <v>564</v>
      </c>
      <c r="AS46" s="340" t="s">
        <v>391</v>
      </c>
      <c r="AT46" s="409" t="s">
        <v>390</v>
      </c>
      <c r="AU46" s="286" t="s">
        <v>173</v>
      </c>
      <c r="AV46" s="518" t="s">
        <v>839</v>
      </c>
      <c r="AW46" s="520">
        <v>0</v>
      </c>
      <c r="AX46" s="518" t="s">
        <v>347</v>
      </c>
      <c r="AY46" s="409"/>
    </row>
    <row r="47" spans="1:51" ht="15.75" customHeight="1" x14ac:dyDescent="0.25">
      <c r="A47" s="386" t="s">
        <v>974</v>
      </c>
      <c r="B47" s="386" t="s">
        <v>974</v>
      </c>
      <c r="C47" s="200" t="s">
        <v>218</v>
      </c>
      <c r="D47" s="200" t="s">
        <v>218</v>
      </c>
      <c r="E47" s="200" t="s">
        <v>218</v>
      </c>
      <c r="F47" s="201">
        <f>$AM$17</f>
        <v>8.75</v>
      </c>
      <c r="G47" s="200" t="s">
        <v>218</v>
      </c>
      <c r="H47" s="171" t="s">
        <v>75</v>
      </c>
      <c r="I47" s="200" t="s">
        <v>218</v>
      </c>
      <c r="J47" s="260">
        <f>$AL$43</f>
        <v>23.25</v>
      </c>
      <c r="K47" s="171" t="s">
        <v>218</v>
      </c>
      <c r="L47" s="171" t="s">
        <v>218</v>
      </c>
      <c r="M47" s="171" t="s">
        <v>218</v>
      </c>
      <c r="N47" s="171" t="s">
        <v>218</v>
      </c>
      <c r="O47" s="171" t="s">
        <v>218</v>
      </c>
      <c r="P47" s="171" t="s">
        <v>218</v>
      </c>
      <c r="Q47" s="171" t="s">
        <v>218</v>
      </c>
      <c r="R47" s="261" t="s">
        <v>50</v>
      </c>
      <c r="S47" s="265" t="s">
        <v>52</v>
      </c>
      <c r="T47" s="171">
        <v>36</v>
      </c>
      <c r="U47" s="271" t="s">
        <v>64</v>
      </c>
      <c r="V47" s="193" t="s">
        <v>63</v>
      </c>
      <c r="W47" s="192" t="s">
        <v>64</v>
      </c>
      <c r="X47" s="192" t="s">
        <v>64</v>
      </c>
      <c r="Y47" s="229" t="s">
        <v>168</v>
      </c>
      <c r="Z47" s="229">
        <v>0.92</v>
      </c>
      <c r="AA47" s="229">
        <v>1.2</v>
      </c>
      <c r="AB47" s="229">
        <v>574</v>
      </c>
      <c r="AC47" s="229" t="s">
        <v>50</v>
      </c>
      <c r="AD47" s="229" t="s">
        <v>65</v>
      </c>
      <c r="AE47" s="152">
        <v>0</v>
      </c>
      <c r="AJ47" s="152">
        <v>3</v>
      </c>
      <c r="AK47" s="240" t="s">
        <v>960</v>
      </c>
      <c r="AL47" s="266">
        <v>29</v>
      </c>
      <c r="AP47" s="341" t="s">
        <v>563</v>
      </c>
      <c r="AQ47" s="152" t="s">
        <v>562</v>
      </c>
      <c r="AS47" s="340" t="s">
        <v>468</v>
      </c>
      <c r="AT47" s="409" t="s">
        <v>467</v>
      </c>
      <c r="AU47" s="286" t="s">
        <v>177</v>
      </c>
      <c r="AV47" s="518" t="s">
        <v>840</v>
      </c>
      <c r="AW47" s="520">
        <v>0</v>
      </c>
      <c r="AX47" s="518" t="s">
        <v>353</v>
      </c>
    </row>
    <row r="48" spans="1:51" ht="15.75" customHeight="1" x14ac:dyDescent="0.25">
      <c r="A48" s="531" t="s">
        <v>975</v>
      </c>
      <c r="B48" s="531" t="s">
        <v>975</v>
      </c>
      <c r="C48" s="200" t="s">
        <v>218</v>
      </c>
      <c r="D48" s="200" t="s">
        <v>218</v>
      </c>
      <c r="E48" s="200" t="s">
        <v>218</v>
      </c>
      <c r="F48" s="534">
        <v>8.75</v>
      </c>
      <c r="G48" s="200" t="s">
        <v>218</v>
      </c>
      <c r="H48" s="171" t="s">
        <v>75</v>
      </c>
      <c r="I48" s="200" t="s">
        <v>218</v>
      </c>
      <c r="J48" s="260">
        <f t="shared" ref="J48:J49" si="10">$AL$43</f>
        <v>23.25</v>
      </c>
      <c r="K48" s="171" t="s">
        <v>218</v>
      </c>
      <c r="L48" s="171" t="s">
        <v>218</v>
      </c>
      <c r="M48" s="171" t="s">
        <v>218</v>
      </c>
      <c r="N48" s="171" t="s">
        <v>218</v>
      </c>
      <c r="O48" s="171" t="s">
        <v>218</v>
      </c>
      <c r="P48" s="171" t="s">
        <v>218</v>
      </c>
      <c r="Q48" s="171" t="s">
        <v>218</v>
      </c>
      <c r="R48" s="261" t="s">
        <v>50</v>
      </c>
      <c r="S48" s="265" t="s">
        <v>52</v>
      </c>
      <c r="T48" s="171">
        <v>36</v>
      </c>
      <c r="U48" s="233" t="s">
        <v>64</v>
      </c>
      <c r="V48" s="205" t="s">
        <v>63</v>
      </c>
      <c r="W48" s="204" t="s">
        <v>64</v>
      </c>
      <c r="X48" s="204" t="s">
        <v>64</v>
      </c>
      <c r="Y48" s="229" t="s">
        <v>180</v>
      </c>
      <c r="Z48" s="229">
        <v>0.92</v>
      </c>
      <c r="AA48" s="229">
        <v>1.2</v>
      </c>
      <c r="AB48" s="229">
        <v>574</v>
      </c>
      <c r="AC48" s="229" t="s">
        <v>50</v>
      </c>
      <c r="AD48" s="229" t="s">
        <v>65</v>
      </c>
      <c r="AE48" s="152">
        <v>0</v>
      </c>
      <c r="AJ48" s="152">
        <v>3</v>
      </c>
      <c r="AK48" s="546" t="s">
        <v>961</v>
      </c>
      <c r="AL48" s="547">
        <v>33</v>
      </c>
      <c r="AP48" s="341" t="s">
        <v>560</v>
      </c>
      <c r="AQ48" s="152" t="s">
        <v>559</v>
      </c>
      <c r="AS48" s="340" t="s">
        <v>389</v>
      </c>
      <c r="AT48" s="409" t="s">
        <v>388</v>
      </c>
      <c r="AU48" s="286" t="s">
        <v>175</v>
      </c>
      <c r="AV48" s="518" t="s">
        <v>841</v>
      </c>
      <c r="AW48" s="520">
        <v>0</v>
      </c>
      <c r="AX48" s="518" t="s">
        <v>370</v>
      </c>
    </row>
    <row r="49" spans="1:50" ht="15.75" customHeight="1" thickBot="1" x14ac:dyDescent="0.3">
      <c r="A49" s="531" t="s">
        <v>976</v>
      </c>
      <c r="B49" s="531" t="s">
        <v>976</v>
      </c>
      <c r="C49" s="200" t="s">
        <v>218</v>
      </c>
      <c r="D49" s="200" t="s">
        <v>218</v>
      </c>
      <c r="E49" s="200" t="s">
        <v>218</v>
      </c>
      <c r="F49" s="534">
        <v>8.25</v>
      </c>
      <c r="G49" s="200" t="s">
        <v>218</v>
      </c>
      <c r="H49" s="171" t="s">
        <v>75</v>
      </c>
      <c r="I49" s="200" t="s">
        <v>218</v>
      </c>
      <c r="J49" s="260">
        <f t="shared" si="10"/>
        <v>23.25</v>
      </c>
      <c r="K49" s="171" t="s">
        <v>218</v>
      </c>
      <c r="L49" s="171" t="s">
        <v>218</v>
      </c>
      <c r="M49" s="171" t="s">
        <v>218</v>
      </c>
      <c r="N49" s="171" t="s">
        <v>218</v>
      </c>
      <c r="O49" s="171" t="s">
        <v>218</v>
      </c>
      <c r="P49" s="171" t="s">
        <v>218</v>
      </c>
      <c r="Q49" s="171" t="s">
        <v>218</v>
      </c>
      <c r="R49" s="261" t="s">
        <v>50</v>
      </c>
      <c r="S49" s="269" t="s">
        <v>54</v>
      </c>
      <c r="T49" s="251">
        <v>36</v>
      </c>
      <c r="U49" s="182"/>
      <c r="V49" s="182"/>
      <c r="W49" s="182"/>
      <c r="X49" s="182"/>
      <c r="Y49" s="229" t="s">
        <v>211</v>
      </c>
      <c r="Z49" s="229">
        <v>0.92</v>
      </c>
      <c r="AA49" s="229">
        <v>1.2</v>
      </c>
      <c r="AB49" s="229">
        <v>574</v>
      </c>
      <c r="AC49" s="229" t="s">
        <v>50</v>
      </c>
      <c r="AD49" s="229" t="s">
        <v>65</v>
      </c>
      <c r="AE49" s="152">
        <v>0</v>
      </c>
      <c r="AJ49" s="152">
        <v>3</v>
      </c>
      <c r="AK49" s="236" t="s">
        <v>23</v>
      </c>
      <c r="AL49" s="237"/>
      <c r="AM49" s="238" t="s">
        <v>24</v>
      </c>
      <c r="AP49" s="341" t="s">
        <v>598</v>
      </c>
      <c r="AQ49" s="152" t="s">
        <v>597</v>
      </c>
      <c r="AS49" s="341" t="s">
        <v>710</v>
      </c>
      <c r="AT49" s="409" t="s">
        <v>711</v>
      </c>
      <c r="AU49" s="286" t="s">
        <v>171</v>
      </c>
      <c r="AV49" s="518" t="s">
        <v>842</v>
      </c>
      <c r="AW49" s="520">
        <v>0</v>
      </c>
      <c r="AX49" s="518" t="s">
        <v>372</v>
      </c>
    </row>
    <row r="50" spans="1:50" ht="15.75" customHeight="1" thickBot="1" x14ac:dyDescent="0.3">
      <c r="A50" s="247" t="s">
        <v>992</v>
      </c>
      <c r="B50" s="247" t="s">
        <v>992</v>
      </c>
      <c r="C50" s="200" t="s">
        <v>218</v>
      </c>
      <c r="D50" s="249">
        <f>AN15</f>
        <v>7.44</v>
      </c>
      <c r="E50" s="529">
        <f>AN16</f>
        <v>8.3000000000000007</v>
      </c>
      <c r="F50" s="265">
        <f>AL17</f>
        <v>8.25</v>
      </c>
      <c r="G50" s="248" t="s">
        <v>218</v>
      </c>
      <c r="H50" s="171" t="s">
        <v>75</v>
      </c>
      <c r="I50" s="250" t="s">
        <v>218</v>
      </c>
      <c r="J50" s="267">
        <f>AL43</f>
        <v>23.25</v>
      </c>
      <c r="K50" s="251" t="s">
        <v>218</v>
      </c>
      <c r="L50" s="251" t="s">
        <v>218</v>
      </c>
      <c r="M50" s="251" t="s">
        <v>218</v>
      </c>
      <c r="N50" s="251" t="s">
        <v>218</v>
      </c>
      <c r="O50" s="251" t="s">
        <v>218</v>
      </c>
      <c r="P50" s="251" t="s">
        <v>218</v>
      </c>
      <c r="Q50" s="251" t="s">
        <v>218</v>
      </c>
      <c r="R50" s="268" t="s">
        <v>50</v>
      </c>
      <c r="S50" s="269" t="s">
        <v>54</v>
      </c>
      <c r="T50" s="251">
        <v>36</v>
      </c>
      <c r="U50" s="182"/>
      <c r="V50" s="182"/>
      <c r="W50" s="182"/>
      <c r="X50" s="182"/>
      <c r="Y50" s="229" t="s">
        <v>305</v>
      </c>
      <c r="Z50" s="229">
        <v>0.92</v>
      </c>
      <c r="AA50" s="229">
        <v>1.2</v>
      </c>
      <c r="AB50" s="229">
        <v>574</v>
      </c>
      <c r="AC50" s="229" t="s">
        <v>50</v>
      </c>
      <c r="AD50" s="229" t="s">
        <v>65</v>
      </c>
      <c r="AE50" s="152">
        <v>0</v>
      </c>
      <c r="AJ50" s="152">
        <v>3</v>
      </c>
      <c r="AK50" s="236"/>
      <c r="AL50" s="237"/>
      <c r="AM50" s="238"/>
      <c r="AP50" s="341" t="s">
        <v>594</v>
      </c>
      <c r="AQ50" s="152" t="s">
        <v>593</v>
      </c>
      <c r="AS50" s="152" t="s">
        <v>666</v>
      </c>
      <c r="AT50" s="409" t="s">
        <v>423</v>
      </c>
      <c r="AU50" s="303" t="s">
        <v>308</v>
      </c>
      <c r="AV50" s="518" t="s">
        <v>843</v>
      </c>
      <c r="AW50" s="520">
        <v>0</v>
      </c>
      <c r="AX50" s="518" t="s">
        <v>374</v>
      </c>
    </row>
    <row r="51" spans="1:50" ht="15.75" customHeight="1" thickBot="1" x14ac:dyDescent="0.3">
      <c r="A51" s="198" t="s">
        <v>970</v>
      </c>
      <c r="B51" s="198" t="s">
        <v>970</v>
      </c>
      <c r="C51" s="200" t="s">
        <v>218</v>
      </c>
      <c r="D51" s="215">
        <f>AM10</f>
        <v>7.52</v>
      </c>
      <c r="E51" s="215">
        <f>AM11</f>
        <v>8.3000000000000007</v>
      </c>
      <c r="F51" s="186">
        <f>AN12</f>
        <v>9</v>
      </c>
      <c r="G51" s="200" t="s">
        <v>218</v>
      </c>
      <c r="H51" s="171" t="s">
        <v>75</v>
      </c>
      <c r="I51" s="200" t="s">
        <v>218</v>
      </c>
      <c r="J51" s="267">
        <f>AL43</f>
        <v>23.25</v>
      </c>
      <c r="K51" s="171">
        <f>$AL$44</f>
        <v>29</v>
      </c>
      <c r="L51" s="171" t="s">
        <v>218</v>
      </c>
      <c r="M51" s="171" t="s">
        <v>218</v>
      </c>
      <c r="N51" s="171" t="s">
        <v>218</v>
      </c>
      <c r="O51" s="171" t="s">
        <v>218</v>
      </c>
      <c r="P51" s="171" t="s">
        <v>218</v>
      </c>
      <c r="Q51" s="171" t="s">
        <v>218</v>
      </c>
      <c r="R51" s="524" t="s">
        <v>50</v>
      </c>
      <c r="S51" s="269" t="s">
        <v>54</v>
      </c>
      <c r="T51" s="251">
        <v>36</v>
      </c>
      <c r="U51" s="182"/>
      <c r="V51" s="182"/>
      <c r="W51" s="182"/>
      <c r="X51" s="182"/>
      <c r="Y51" s="229" t="s">
        <v>151</v>
      </c>
      <c r="Z51" s="229">
        <v>0.6</v>
      </c>
      <c r="AA51" s="229">
        <f>Z51*(1+0.3)</f>
        <v>0.78</v>
      </c>
      <c r="AB51" s="229">
        <v>738</v>
      </c>
      <c r="AC51" s="229" t="s">
        <v>50</v>
      </c>
      <c r="AD51" s="229" t="s">
        <v>65</v>
      </c>
      <c r="AE51" s="152">
        <v>0</v>
      </c>
      <c r="AJ51" s="152">
        <v>3</v>
      </c>
      <c r="AK51" s="272" t="s">
        <v>25</v>
      </c>
      <c r="AL51" s="273" t="s">
        <v>26</v>
      </c>
      <c r="AM51" s="274" t="s">
        <v>27</v>
      </c>
      <c r="AP51" s="341" t="s">
        <v>600</v>
      </c>
      <c r="AQ51" s="152" t="s">
        <v>599</v>
      </c>
      <c r="AS51" s="152" t="s">
        <v>712</v>
      </c>
      <c r="AT51" s="409" t="s">
        <v>367</v>
      </c>
      <c r="AU51" s="286" t="s">
        <v>285</v>
      </c>
      <c r="AV51" s="518" t="s">
        <v>844</v>
      </c>
      <c r="AW51" s="520">
        <v>0</v>
      </c>
      <c r="AX51" s="518" t="s">
        <v>376</v>
      </c>
    </row>
    <row r="52" spans="1:50" ht="15.75" customHeight="1" thickBot="1" x14ac:dyDescent="0.3">
      <c r="A52" s="198" t="s">
        <v>971</v>
      </c>
      <c r="B52" s="198" t="s">
        <v>971</v>
      </c>
      <c r="C52" s="200" t="s">
        <v>218</v>
      </c>
      <c r="D52" s="215">
        <f>AM10</f>
        <v>7.52</v>
      </c>
      <c r="E52" s="215">
        <f>AM11</f>
        <v>8.3000000000000007</v>
      </c>
      <c r="F52" s="201">
        <f>AN12</f>
        <v>9</v>
      </c>
      <c r="G52" s="200" t="s">
        <v>218</v>
      </c>
      <c r="H52" s="171" t="s">
        <v>75</v>
      </c>
      <c r="I52" s="200" t="s">
        <v>218</v>
      </c>
      <c r="J52" s="267">
        <f>AL43</f>
        <v>23.25</v>
      </c>
      <c r="K52" s="171">
        <f>$AL$44</f>
        <v>29</v>
      </c>
      <c r="L52" s="171" t="s">
        <v>218</v>
      </c>
      <c r="M52" s="171" t="s">
        <v>218</v>
      </c>
      <c r="N52" s="171" t="s">
        <v>218</v>
      </c>
      <c r="O52" s="171" t="s">
        <v>218</v>
      </c>
      <c r="P52" s="171" t="s">
        <v>218</v>
      </c>
      <c r="Q52" s="171" t="s">
        <v>218</v>
      </c>
      <c r="R52" s="525" t="s">
        <v>50</v>
      </c>
      <c r="S52" s="190" t="s">
        <v>55</v>
      </c>
      <c r="T52" s="189">
        <v>36</v>
      </c>
      <c r="U52" s="182"/>
      <c r="V52" s="182"/>
      <c r="W52" s="182"/>
      <c r="X52" s="182"/>
      <c r="Y52" s="229" t="s">
        <v>152</v>
      </c>
      <c r="Z52" s="229">
        <v>0.6</v>
      </c>
      <c r="AA52" s="229">
        <f>Z52*(1+0.3)</f>
        <v>0.78</v>
      </c>
      <c r="AB52" s="229">
        <v>738</v>
      </c>
      <c r="AC52" s="229" t="s">
        <v>50</v>
      </c>
      <c r="AD52" s="229" t="s">
        <v>65</v>
      </c>
      <c r="AE52" s="152">
        <v>0</v>
      </c>
      <c r="AJ52" s="152">
        <v>3</v>
      </c>
      <c r="AK52" s="275" t="s">
        <v>283</v>
      </c>
      <c r="AL52" s="276">
        <v>3.75</v>
      </c>
      <c r="AM52" s="277">
        <v>3.75</v>
      </c>
      <c r="AP52" s="341" t="s">
        <v>596</v>
      </c>
      <c r="AQ52" s="152" t="s">
        <v>595</v>
      </c>
      <c r="AS52" s="152" t="s">
        <v>706</v>
      </c>
      <c r="AT52" s="409" t="s">
        <v>369</v>
      </c>
      <c r="AU52" s="286" t="s">
        <v>197</v>
      </c>
    </row>
    <row r="53" spans="1:50" ht="15.75" customHeight="1" x14ac:dyDescent="0.25">
      <c r="A53" s="185" t="s">
        <v>249</v>
      </c>
      <c r="B53" s="185" t="s">
        <v>846</v>
      </c>
      <c r="C53" s="186" t="s">
        <v>218</v>
      </c>
      <c r="D53" s="187">
        <f>AL10</f>
        <v>7.16</v>
      </c>
      <c r="E53" s="187">
        <f>AL11</f>
        <v>8.0500000000000007</v>
      </c>
      <c r="F53" s="188">
        <f>AN12</f>
        <v>9</v>
      </c>
      <c r="G53" s="186" t="s">
        <v>218</v>
      </c>
      <c r="H53" s="189" t="s">
        <v>75</v>
      </c>
      <c r="I53" s="186" t="s">
        <v>218</v>
      </c>
      <c r="J53" s="171">
        <f>AL43</f>
        <v>23.25</v>
      </c>
      <c r="K53" s="171" t="s">
        <v>218</v>
      </c>
      <c r="L53" s="171" t="s">
        <v>218</v>
      </c>
      <c r="M53" s="171" t="s">
        <v>218</v>
      </c>
      <c r="N53" s="171" t="s">
        <v>218</v>
      </c>
      <c r="O53" s="171" t="s">
        <v>218</v>
      </c>
      <c r="P53" s="171" t="s">
        <v>218</v>
      </c>
      <c r="Q53" s="171" t="s">
        <v>218</v>
      </c>
      <c r="R53" s="171" t="s">
        <v>50</v>
      </c>
      <c r="S53" s="202" t="s">
        <v>56</v>
      </c>
      <c r="T53" s="171">
        <v>36</v>
      </c>
      <c r="U53" s="182"/>
      <c r="V53" s="182"/>
      <c r="W53" s="182"/>
      <c r="X53" s="182"/>
      <c r="Y53" s="229" t="s">
        <v>156</v>
      </c>
      <c r="Z53" s="229">
        <v>0.6</v>
      </c>
      <c r="AA53" s="229">
        <f>Z53*(1+0.3)</f>
        <v>0.78</v>
      </c>
      <c r="AB53" s="229">
        <v>738</v>
      </c>
      <c r="AC53" s="229" t="s">
        <v>50</v>
      </c>
      <c r="AD53" s="229" t="s">
        <v>65</v>
      </c>
      <c r="AE53" s="152">
        <v>0</v>
      </c>
      <c r="AJ53" s="152">
        <v>4</v>
      </c>
      <c r="AK53" s="221">
        <v>10</v>
      </c>
      <c r="AL53" s="222">
        <v>3.29</v>
      </c>
      <c r="AM53" s="223">
        <v>3.52</v>
      </c>
      <c r="AP53" s="152" t="s">
        <v>695</v>
      </c>
      <c r="AQ53" s="152" t="s">
        <v>696</v>
      </c>
      <c r="AS53" s="340" t="s">
        <v>368</v>
      </c>
      <c r="AT53" s="409" t="s">
        <v>367</v>
      </c>
      <c r="AU53" s="303" t="s">
        <v>309</v>
      </c>
    </row>
    <row r="54" spans="1:50" ht="15.75" customHeight="1" x14ac:dyDescent="0.25">
      <c r="A54" s="199" t="s">
        <v>251</v>
      </c>
      <c r="B54" s="199" t="s">
        <v>847</v>
      </c>
      <c r="C54" s="200" t="s">
        <v>218</v>
      </c>
      <c r="D54" s="215">
        <f>AM10</f>
        <v>7.52</v>
      </c>
      <c r="E54" s="215">
        <f>AM11</f>
        <v>8.3000000000000007</v>
      </c>
      <c r="F54" s="201">
        <f>AN12</f>
        <v>9</v>
      </c>
      <c r="G54" s="200" t="s">
        <v>218</v>
      </c>
      <c r="H54" s="171" t="s">
        <v>75</v>
      </c>
      <c r="I54" s="200" t="s">
        <v>218</v>
      </c>
      <c r="J54" s="171">
        <f>AL43</f>
        <v>23.25</v>
      </c>
      <c r="K54" s="171" t="s">
        <v>218</v>
      </c>
      <c r="L54" s="171" t="s">
        <v>218</v>
      </c>
      <c r="M54" s="171" t="s">
        <v>218</v>
      </c>
      <c r="N54" s="171" t="s">
        <v>218</v>
      </c>
      <c r="O54" s="171" t="s">
        <v>218</v>
      </c>
      <c r="P54" s="171" t="s">
        <v>218</v>
      </c>
      <c r="Q54" s="171" t="s">
        <v>218</v>
      </c>
      <c r="R54" s="171" t="s">
        <v>50</v>
      </c>
      <c r="S54" s="202" t="s">
        <v>56</v>
      </c>
      <c r="T54" s="171">
        <v>36</v>
      </c>
      <c r="U54" s="182"/>
      <c r="V54" s="182"/>
      <c r="W54" s="182"/>
      <c r="X54" s="182"/>
      <c r="Y54" s="229" t="s">
        <v>153</v>
      </c>
      <c r="Z54" s="229">
        <v>0.6</v>
      </c>
      <c r="AA54" s="229">
        <f>Z54*(1+0.3)</f>
        <v>0.78</v>
      </c>
      <c r="AB54" s="229">
        <v>738</v>
      </c>
      <c r="AC54" s="229" t="s">
        <v>50</v>
      </c>
      <c r="AD54" s="229" t="s">
        <v>65</v>
      </c>
      <c r="AE54" s="152">
        <v>0</v>
      </c>
      <c r="AJ54" s="152">
        <v>4</v>
      </c>
      <c r="AK54" s="221">
        <v>16</v>
      </c>
      <c r="AL54" s="222">
        <v>3.82</v>
      </c>
      <c r="AM54" s="223">
        <v>4.04</v>
      </c>
      <c r="AP54" s="341" t="s">
        <v>1001</v>
      </c>
      <c r="AQ54" s="152" t="s">
        <v>602</v>
      </c>
      <c r="AS54" s="340" t="s">
        <v>432</v>
      </c>
      <c r="AT54" s="409" t="s">
        <v>431</v>
      </c>
      <c r="AU54" s="303" t="s">
        <v>310</v>
      </c>
    </row>
    <row r="55" spans="1:50" ht="15.75" customHeight="1" thickBot="1" x14ac:dyDescent="0.3">
      <c r="A55" s="199" t="s">
        <v>252</v>
      </c>
      <c r="B55" s="199" t="s">
        <v>848</v>
      </c>
      <c r="C55" s="200" t="s">
        <v>218</v>
      </c>
      <c r="D55" s="215">
        <f>AM10</f>
        <v>7.52</v>
      </c>
      <c r="E55" s="215">
        <f>AM11</f>
        <v>8.3000000000000007</v>
      </c>
      <c r="F55" s="201">
        <f>AN12</f>
        <v>9</v>
      </c>
      <c r="G55" s="200" t="s">
        <v>218</v>
      </c>
      <c r="H55" s="171" t="s">
        <v>65</v>
      </c>
      <c r="I55" s="200" t="s">
        <v>218</v>
      </c>
      <c r="J55" s="171">
        <f>AL43</f>
        <v>23.25</v>
      </c>
      <c r="K55" s="171" t="s">
        <v>218</v>
      </c>
      <c r="L55" s="171" t="s">
        <v>218</v>
      </c>
      <c r="M55" s="171" t="s">
        <v>218</v>
      </c>
      <c r="N55" s="171" t="s">
        <v>218</v>
      </c>
      <c r="O55" s="171" t="s">
        <v>218</v>
      </c>
      <c r="P55" s="171" t="s">
        <v>218</v>
      </c>
      <c r="Q55" s="171" t="s">
        <v>218</v>
      </c>
      <c r="R55" s="171" t="s">
        <v>50</v>
      </c>
      <c r="S55" s="252" t="s">
        <v>56</v>
      </c>
      <c r="T55" s="251">
        <v>36</v>
      </c>
      <c r="U55" s="182"/>
      <c r="V55" s="182"/>
      <c r="W55" s="182"/>
      <c r="X55" s="182"/>
      <c r="Y55" s="229" t="s">
        <v>905</v>
      </c>
      <c r="Z55" s="229">
        <v>0.47</v>
      </c>
      <c r="AA55" s="229">
        <v>0.61</v>
      </c>
      <c r="AB55" s="229">
        <v>738</v>
      </c>
      <c r="AC55" s="229" t="s">
        <v>50</v>
      </c>
      <c r="AD55" s="229" t="s">
        <v>65</v>
      </c>
      <c r="AE55" s="152">
        <v>0</v>
      </c>
      <c r="AJ55" s="152">
        <v>4</v>
      </c>
      <c r="AK55" s="275">
        <v>18</v>
      </c>
      <c r="AL55" s="276">
        <v>4.5</v>
      </c>
      <c r="AM55" s="276">
        <v>4.5</v>
      </c>
      <c r="AP55" s="152" t="s">
        <v>691</v>
      </c>
      <c r="AQ55" s="152" t="s">
        <v>690</v>
      </c>
      <c r="AS55" s="340" t="s">
        <v>472</v>
      </c>
      <c r="AT55" s="409" t="s">
        <v>471</v>
      </c>
      <c r="AU55" s="286" t="s">
        <v>169</v>
      </c>
    </row>
    <row r="56" spans="1:50" ht="15.75" customHeight="1" thickBot="1" x14ac:dyDescent="0.3">
      <c r="A56" s="247" t="s">
        <v>253</v>
      </c>
      <c r="B56" s="247" t="s">
        <v>849</v>
      </c>
      <c r="C56" s="248" t="s">
        <v>218</v>
      </c>
      <c r="D56" s="249">
        <f>AM10</f>
        <v>7.52</v>
      </c>
      <c r="E56" s="249">
        <f>AM11</f>
        <v>8.3000000000000007</v>
      </c>
      <c r="F56" s="250">
        <f>AN12</f>
        <v>9</v>
      </c>
      <c r="G56" s="248" t="s">
        <v>218</v>
      </c>
      <c r="H56" s="251" t="s">
        <v>65</v>
      </c>
      <c r="I56" s="248" t="s">
        <v>218</v>
      </c>
      <c r="J56" s="251">
        <f>AL43</f>
        <v>23.25</v>
      </c>
      <c r="K56" s="251" t="s">
        <v>218</v>
      </c>
      <c r="L56" s="251" t="s">
        <v>218</v>
      </c>
      <c r="M56" s="251" t="s">
        <v>218</v>
      </c>
      <c r="N56" s="251" t="s">
        <v>218</v>
      </c>
      <c r="O56" s="251" t="s">
        <v>218</v>
      </c>
      <c r="P56" s="251" t="s">
        <v>218</v>
      </c>
      <c r="Q56" s="251" t="s">
        <v>218</v>
      </c>
      <c r="R56" s="251" t="s">
        <v>50</v>
      </c>
      <c r="S56" s="190" t="s">
        <v>56</v>
      </c>
      <c r="T56" s="189">
        <v>36</v>
      </c>
      <c r="U56" s="182"/>
      <c r="V56" s="182"/>
      <c r="W56" s="182"/>
      <c r="X56" s="182"/>
      <c r="Y56" s="229" t="s">
        <v>936</v>
      </c>
      <c r="Z56" s="229">
        <v>0.47</v>
      </c>
      <c r="AA56" s="229">
        <v>0.61</v>
      </c>
      <c r="AB56" s="229">
        <v>738</v>
      </c>
      <c r="AC56" s="229" t="s">
        <v>50</v>
      </c>
      <c r="AD56" s="229" t="s">
        <v>65</v>
      </c>
      <c r="AE56" s="152">
        <v>0</v>
      </c>
      <c r="AJ56" s="152">
        <v>4</v>
      </c>
      <c r="AK56" s="235">
        <v>22</v>
      </c>
      <c r="AL56" s="278">
        <v>4.6632261380155793</v>
      </c>
      <c r="AM56" s="279">
        <v>4.9345346349566181</v>
      </c>
      <c r="AP56" s="341" t="s">
        <v>592</v>
      </c>
      <c r="AQ56" s="152" t="s">
        <v>591</v>
      </c>
      <c r="AS56" s="340" t="s">
        <v>447</v>
      </c>
      <c r="AT56" s="409" t="s">
        <v>446</v>
      </c>
      <c r="AU56" s="286" t="s">
        <v>157</v>
      </c>
    </row>
    <row r="57" spans="1:50" ht="15.75" customHeight="1" thickBot="1" x14ac:dyDescent="0.3">
      <c r="A57" s="185" t="s">
        <v>91</v>
      </c>
      <c r="B57" s="185" t="s">
        <v>854</v>
      </c>
      <c r="C57" s="186" t="s">
        <v>218</v>
      </c>
      <c r="D57" s="187">
        <f>AM19</f>
        <v>7.75</v>
      </c>
      <c r="E57" s="187">
        <f>AM20</f>
        <v>8.66</v>
      </c>
      <c r="F57" s="188">
        <f>AN12</f>
        <v>9</v>
      </c>
      <c r="G57" s="186" t="s">
        <v>218</v>
      </c>
      <c r="H57" s="189" t="s">
        <v>75</v>
      </c>
      <c r="I57" s="186" t="s">
        <v>218</v>
      </c>
      <c r="J57" s="189">
        <f>AL43</f>
        <v>23.25</v>
      </c>
      <c r="K57" s="189" t="s">
        <v>218</v>
      </c>
      <c r="L57" s="189" t="s">
        <v>218</v>
      </c>
      <c r="M57" s="189" t="s">
        <v>218</v>
      </c>
      <c r="N57" s="189" t="s">
        <v>218</v>
      </c>
      <c r="O57" s="189" t="s">
        <v>218</v>
      </c>
      <c r="P57" s="189" t="s">
        <v>218</v>
      </c>
      <c r="Q57" s="189" t="s">
        <v>218</v>
      </c>
      <c r="R57" s="189" t="s">
        <v>50</v>
      </c>
      <c r="S57" s="202" t="s">
        <v>56</v>
      </c>
      <c r="T57" s="171">
        <v>36</v>
      </c>
      <c r="U57" s="182"/>
      <c r="V57" s="182"/>
      <c r="W57" s="182"/>
      <c r="X57" s="182"/>
      <c r="Y57" s="386" t="s">
        <v>933</v>
      </c>
      <c r="Z57" s="229">
        <v>0.47</v>
      </c>
      <c r="AA57" s="229">
        <v>0.61</v>
      </c>
      <c r="AB57" s="229">
        <v>738</v>
      </c>
      <c r="AC57" s="229" t="s">
        <v>50</v>
      </c>
      <c r="AD57" s="229" t="s">
        <v>65</v>
      </c>
      <c r="AE57" s="152">
        <v>0</v>
      </c>
      <c r="AJ57" s="152">
        <v>5</v>
      </c>
      <c r="AP57" s="341" t="s">
        <v>628</v>
      </c>
      <c r="AQ57" s="152" t="s">
        <v>627</v>
      </c>
      <c r="AS57" s="340" t="s">
        <v>1002</v>
      </c>
      <c r="AT57" s="409" t="s">
        <v>448</v>
      </c>
      <c r="AU57" s="286" t="s">
        <v>1003</v>
      </c>
    </row>
    <row r="58" spans="1:50" ht="15.75" customHeight="1" thickBot="1" x14ac:dyDescent="0.3">
      <c r="A58" s="246" t="s">
        <v>92</v>
      </c>
      <c r="B58" s="246" t="s">
        <v>855</v>
      </c>
      <c r="C58" s="200" t="s">
        <v>218</v>
      </c>
      <c r="D58" s="529">
        <f>AM19</f>
        <v>7.75</v>
      </c>
      <c r="E58" s="529">
        <f>AM20</f>
        <v>8.66</v>
      </c>
      <c r="F58" s="201">
        <f>AN12</f>
        <v>9</v>
      </c>
      <c r="G58" s="248" t="s">
        <v>218</v>
      </c>
      <c r="H58" s="171" t="s">
        <v>75</v>
      </c>
      <c r="I58" s="200" t="s">
        <v>218</v>
      </c>
      <c r="J58" s="171">
        <f>AL43</f>
        <v>23.25</v>
      </c>
      <c r="K58" s="171" t="s">
        <v>218</v>
      </c>
      <c r="L58" s="171" t="s">
        <v>218</v>
      </c>
      <c r="M58" s="171" t="s">
        <v>218</v>
      </c>
      <c r="N58" s="171" t="s">
        <v>218</v>
      </c>
      <c r="O58" s="171" t="s">
        <v>218</v>
      </c>
      <c r="P58" s="171" t="s">
        <v>218</v>
      </c>
      <c r="Q58" s="171" t="s">
        <v>218</v>
      </c>
      <c r="R58" s="171" t="s">
        <v>50</v>
      </c>
      <c r="S58" s="259">
        <v>2</v>
      </c>
      <c r="T58" s="258">
        <v>36</v>
      </c>
      <c r="U58" s="182"/>
      <c r="V58" s="182"/>
      <c r="W58" s="182"/>
      <c r="X58" s="182"/>
      <c r="Y58" s="386" t="s">
        <v>934</v>
      </c>
      <c r="Z58" s="229">
        <v>0.47</v>
      </c>
      <c r="AA58" s="229">
        <v>0.61</v>
      </c>
      <c r="AB58" s="229">
        <v>738</v>
      </c>
      <c r="AC58" s="229" t="s">
        <v>50</v>
      </c>
      <c r="AD58" s="229" t="s">
        <v>65</v>
      </c>
      <c r="AE58" s="152">
        <v>0</v>
      </c>
      <c r="AJ58" s="152">
        <v>5</v>
      </c>
      <c r="AK58" s="236" t="s">
        <v>29</v>
      </c>
      <c r="AL58" s="237"/>
      <c r="AM58" s="238" t="s">
        <v>30</v>
      </c>
      <c r="AP58" s="341" t="s">
        <v>630</v>
      </c>
      <c r="AQ58" s="152" t="s">
        <v>629</v>
      </c>
      <c r="AS58" s="340" t="s">
        <v>363</v>
      </c>
      <c r="AT58" s="409" t="s">
        <v>362</v>
      </c>
      <c r="AU58" s="286" t="s">
        <v>199</v>
      </c>
    </row>
    <row r="59" spans="1:50" ht="15.75" customHeight="1" thickBot="1" x14ac:dyDescent="0.3">
      <c r="A59" s="184" t="s">
        <v>1035</v>
      </c>
      <c r="B59" s="184" t="s">
        <v>1035</v>
      </c>
      <c r="C59" s="528">
        <f>AM52</f>
        <v>3.75</v>
      </c>
      <c r="D59" s="215">
        <f>AM53</f>
        <v>3.52</v>
      </c>
      <c r="E59" s="215">
        <f>AM54</f>
        <v>4.04</v>
      </c>
      <c r="F59" s="186">
        <f>AM55</f>
        <v>4.5</v>
      </c>
      <c r="G59" s="200">
        <f>AM56</f>
        <v>4.9345346349566181</v>
      </c>
      <c r="H59" s="530" t="s">
        <v>65</v>
      </c>
      <c r="I59" s="257" t="s">
        <v>218</v>
      </c>
      <c r="J59" s="260">
        <f t="shared" ref="J59:J70" si="11">$AM$67</f>
        <v>11.75</v>
      </c>
      <c r="K59" s="189">
        <f>$AM$68</f>
        <v>15.25</v>
      </c>
      <c r="L59" s="189" t="s">
        <v>218</v>
      </c>
      <c r="M59" s="171">
        <f t="shared" ref="M59:Q71" si="12">$AL$109</f>
        <v>21.5</v>
      </c>
      <c r="N59" s="171">
        <f t="shared" si="12"/>
        <v>21.5</v>
      </c>
      <c r="O59" s="171">
        <f t="shared" si="12"/>
        <v>21.5</v>
      </c>
      <c r="P59" s="171">
        <f t="shared" si="12"/>
        <v>21.5</v>
      </c>
      <c r="Q59" s="171">
        <f t="shared" si="12"/>
        <v>21.5</v>
      </c>
      <c r="R59" s="258" t="s">
        <v>76</v>
      </c>
      <c r="S59" s="262">
        <v>2</v>
      </c>
      <c r="T59" s="261">
        <v>36</v>
      </c>
      <c r="U59" s="182"/>
      <c r="V59" s="182"/>
      <c r="W59" s="182"/>
      <c r="X59" s="182"/>
      <c r="Y59" s="386" t="s">
        <v>935</v>
      </c>
      <c r="Z59" s="229">
        <v>0.47</v>
      </c>
      <c r="AA59" s="229">
        <v>0.61</v>
      </c>
      <c r="AB59" s="229">
        <v>738</v>
      </c>
      <c r="AC59" s="229" t="s">
        <v>50</v>
      </c>
      <c r="AD59" s="229" t="s">
        <v>65</v>
      </c>
      <c r="AE59" s="152">
        <v>0</v>
      </c>
      <c r="AJ59" s="152">
        <v>5</v>
      </c>
      <c r="AP59" s="341" t="s">
        <v>617</v>
      </c>
      <c r="AQ59" s="152" t="s">
        <v>616</v>
      </c>
      <c r="AS59" s="152" t="s">
        <v>713</v>
      </c>
      <c r="AT59" s="409" t="s">
        <v>674</v>
      </c>
      <c r="AU59" s="286" t="s">
        <v>187</v>
      </c>
    </row>
    <row r="60" spans="1:50" ht="15.75" customHeight="1" thickBot="1" x14ac:dyDescent="0.3">
      <c r="A60" s="198" t="s">
        <v>1036</v>
      </c>
      <c r="B60" s="198" t="s">
        <v>1036</v>
      </c>
      <c r="C60" s="215">
        <f>AM52</f>
        <v>3.75</v>
      </c>
      <c r="D60" s="215">
        <f>AM53</f>
        <v>3.52</v>
      </c>
      <c r="E60" s="215">
        <f>AM54</f>
        <v>4.04</v>
      </c>
      <c r="F60" s="201">
        <f>AM55</f>
        <v>4.5</v>
      </c>
      <c r="G60" s="200">
        <f>AM56</f>
        <v>4.9345346349566181</v>
      </c>
      <c r="H60" s="171" t="s">
        <v>65</v>
      </c>
      <c r="I60" s="260" t="s">
        <v>218</v>
      </c>
      <c r="J60" s="260">
        <f t="shared" si="11"/>
        <v>11.75</v>
      </c>
      <c r="K60" s="189">
        <f>$AM$68</f>
        <v>15.25</v>
      </c>
      <c r="L60" s="171" t="s">
        <v>218</v>
      </c>
      <c r="M60" s="171">
        <f t="shared" si="12"/>
        <v>21.5</v>
      </c>
      <c r="N60" s="171">
        <f t="shared" si="12"/>
        <v>21.5</v>
      </c>
      <c r="O60" s="171">
        <f t="shared" si="12"/>
        <v>21.5</v>
      </c>
      <c r="P60" s="171">
        <f t="shared" si="12"/>
        <v>21.5</v>
      </c>
      <c r="Q60" s="171">
        <f t="shared" si="12"/>
        <v>21.5</v>
      </c>
      <c r="R60" s="261" t="s">
        <v>76</v>
      </c>
      <c r="S60" s="262">
        <v>2</v>
      </c>
      <c r="T60" s="261">
        <v>36</v>
      </c>
      <c r="U60" s="182"/>
      <c r="V60" s="182"/>
      <c r="W60" s="182"/>
      <c r="X60" s="182"/>
      <c r="Y60" s="531" t="s">
        <v>959</v>
      </c>
      <c r="Z60" s="229">
        <v>0.47</v>
      </c>
      <c r="AA60" s="229">
        <v>0.61</v>
      </c>
      <c r="AB60" s="229">
        <v>738</v>
      </c>
      <c r="AC60" s="229" t="s">
        <v>50</v>
      </c>
      <c r="AD60" s="229" t="s">
        <v>65</v>
      </c>
      <c r="AE60" s="152">
        <v>0</v>
      </c>
      <c r="AJ60" s="152">
        <v>5</v>
      </c>
      <c r="AK60" s="239" t="s">
        <v>31</v>
      </c>
      <c r="AL60" s="239" t="s">
        <v>32</v>
      </c>
      <c r="AM60" s="239" t="s">
        <v>33</v>
      </c>
      <c r="AP60" s="341" t="s">
        <v>621</v>
      </c>
      <c r="AQ60" s="152" t="s">
        <v>620</v>
      </c>
      <c r="AS60" s="340" t="s">
        <v>443</v>
      </c>
      <c r="AT60" s="409" t="s">
        <v>442</v>
      </c>
      <c r="AU60" s="229" t="s">
        <v>161</v>
      </c>
    </row>
    <row r="61" spans="1:50" ht="15.75" customHeight="1" x14ac:dyDescent="0.25">
      <c r="A61" s="198" t="s">
        <v>1037</v>
      </c>
      <c r="B61" s="198" t="s">
        <v>1037</v>
      </c>
      <c r="C61" s="215">
        <f>AM52</f>
        <v>3.75</v>
      </c>
      <c r="D61" s="215">
        <f>AM53</f>
        <v>3.52</v>
      </c>
      <c r="E61" s="215">
        <f>AM54</f>
        <v>4.04</v>
      </c>
      <c r="F61" s="201">
        <f>AM55</f>
        <v>4.5</v>
      </c>
      <c r="G61" s="200">
        <f>AM56</f>
        <v>4.9345346349566181</v>
      </c>
      <c r="H61" s="171" t="s">
        <v>65</v>
      </c>
      <c r="I61" s="260" t="s">
        <v>218</v>
      </c>
      <c r="J61" s="260">
        <f t="shared" si="11"/>
        <v>11.75</v>
      </c>
      <c r="K61" s="189">
        <f>$AM$68</f>
        <v>15.25</v>
      </c>
      <c r="L61" s="171" t="s">
        <v>218</v>
      </c>
      <c r="M61" s="171">
        <f t="shared" si="12"/>
        <v>21.5</v>
      </c>
      <c r="N61" s="171">
        <f t="shared" si="12"/>
        <v>21.5</v>
      </c>
      <c r="O61" s="171">
        <f t="shared" si="12"/>
        <v>21.5</v>
      </c>
      <c r="P61" s="171">
        <f t="shared" si="12"/>
        <v>21.5</v>
      </c>
      <c r="Q61" s="171">
        <f t="shared" si="12"/>
        <v>21.5</v>
      </c>
      <c r="R61" s="261" t="s">
        <v>76</v>
      </c>
      <c r="S61" s="262">
        <v>2</v>
      </c>
      <c r="T61" s="261">
        <v>36</v>
      </c>
      <c r="U61" s="182"/>
      <c r="V61" s="182"/>
      <c r="W61" s="182"/>
      <c r="X61" s="182"/>
      <c r="Y61" s="531" t="s">
        <v>958</v>
      </c>
      <c r="Z61" s="229">
        <v>0.47</v>
      </c>
      <c r="AA61" s="229">
        <v>0.61</v>
      </c>
      <c r="AB61" s="229">
        <v>738</v>
      </c>
      <c r="AC61" s="229" t="s">
        <v>50</v>
      </c>
      <c r="AD61" s="229" t="s">
        <v>65</v>
      </c>
      <c r="AE61" s="152">
        <v>0</v>
      </c>
      <c r="AJ61" s="152">
        <v>5</v>
      </c>
      <c r="AK61" s="240" t="s">
        <v>46</v>
      </c>
      <c r="AL61" s="266">
        <v>0.42</v>
      </c>
      <c r="AM61" s="266">
        <v>0.32</v>
      </c>
      <c r="AP61" s="152" t="s">
        <v>698</v>
      </c>
      <c r="AQ61" s="152" t="s">
        <v>697</v>
      </c>
      <c r="AS61" s="340" t="s">
        <v>445</v>
      </c>
      <c r="AT61" s="409" t="s">
        <v>444</v>
      </c>
      <c r="AU61" s="229" t="s">
        <v>158</v>
      </c>
    </row>
    <row r="62" spans="1:50" ht="15.75" customHeight="1" x14ac:dyDescent="0.25">
      <c r="A62" s="198" t="s">
        <v>1031</v>
      </c>
      <c r="B62" s="538" t="s">
        <v>1023</v>
      </c>
      <c r="C62" s="215">
        <f>AM52</f>
        <v>3.75</v>
      </c>
      <c r="D62" s="215">
        <f>AM53</f>
        <v>3.52</v>
      </c>
      <c r="E62" s="215">
        <f>AM54</f>
        <v>4.04</v>
      </c>
      <c r="F62" s="201">
        <f>AM55</f>
        <v>4.5</v>
      </c>
      <c r="G62" s="200">
        <f>AM56</f>
        <v>4.9345346349566181</v>
      </c>
      <c r="H62" s="171" t="s">
        <v>65</v>
      </c>
      <c r="I62" s="260" t="s">
        <v>218</v>
      </c>
      <c r="J62" s="260">
        <f t="shared" si="11"/>
        <v>11.75</v>
      </c>
      <c r="K62" s="171" t="s">
        <v>218</v>
      </c>
      <c r="L62" s="171">
        <f>$AM$69</f>
        <v>24.25</v>
      </c>
      <c r="M62" s="171">
        <f t="shared" si="12"/>
        <v>21.5</v>
      </c>
      <c r="N62" s="171">
        <f t="shared" si="12"/>
        <v>21.5</v>
      </c>
      <c r="O62" s="171">
        <f t="shared" si="12"/>
        <v>21.5</v>
      </c>
      <c r="P62" s="171">
        <f t="shared" si="12"/>
        <v>21.5</v>
      </c>
      <c r="Q62" s="171">
        <f t="shared" si="12"/>
        <v>21.5</v>
      </c>
      <c r="R62" s="261" t="s">
        <v>76</v>
      </c>
      <c r="S62" s="262">
        <v>2</v>
      </c>
      <c r="T62" s="261">
        <v>36</v>
      </c>
      <c r="U62" s="182"/>
      <c r="V62" s="182"/>
      <c r="W62" s="182"/>
      <c r="X62" s="182"/>
      <c r="Y62" s="229" t="s">
        <v>988</v>
      </c>
      <c r="Z62" s="229">
        <v>0.47</v>
      </c>
      <c r="AA62" s="229">
        <v>0.61</v>
      </c>
      <c r="AB62" s="229">
        <v>738</v>
      </c>
      <c r="AC62" s="229" t="s">
        <v>50</v>
      </c>
      <c r="AD62" s="229" t="s">
        <v>65</v>
      </c>
      <c r="AE62" s="152">
        <v>0</v>
      </c>
      <c r="AJ62" s="152">
        <v>5</v>
      </c>
      <c r="AK62" s="240" t="s">
        <v>47</v>
      </c>
      <c r="AL62" s="280">
        <v>0.44</v>
      </c>
      <c r="AM62" s="280">
        <v>0.34</v>
      </c>
      <c r="AP62" s="341" t="s">
        <v>623</v>
      </c>
      <c r="AQ62" s="152" t="s">
        <v>622</v>
      </c>
      <c r="AS62" s="340" t="s">
        <v>349</v>
      </c>
      <c r="AT62" s="409" t="s">
        <v>346</v>
      </c>
      <c r="AU62" s="229" t="s">
        <v>185</v>
      </c>
    </row>
    <row r="63" spans="1:50" ht="15.75" customHeight="1" x14ac:dyDescent="0.25">
      <c r="A63" s="198" t="s">
        <v>1032</v>
      </c>
      <c r="B63" s="538" t="s">
        <v>1024</v>
      </c>
      <c r="C63" s="215">
        <f>$AM$52</f>
        <v>3.75</v>
      </c>
      <c r="D63" s="215">
        <f>AM53</f>
        <v>3.52</v>
      </c>
      <c r="E63" s="215">
        <f>AM54</f>
        <v>4.04</v>
      </c>
      <c r="F63" s="201">
        <f>AM55</f>
        <v>4.5</v>
      </c>
      <c r="G63" s="200">
        <f>AM56</f>
        <v>4.9345346349566181</v>
      </c>
      <c r="H63" s="171" t="s">
        <v>75</v>
      </c>
      <c r="I63" s="260" t="s">
        <v>218</v>
      </c>
      <c r="J63" s="260">
        <f t="shared" si="11"/>
        <v>11.75</v>
      </c>
      <c r="K63" s="171" t="s">
        <v>218</v>
      </c>
      <c r="L63" s="171" t="s">
        <v>218</v>
      </c>
      <c r="M63" s="171">
        <f t="shared" si="12"/>
        <v>21.5</v>
      </c>
      <c r="N63" s="171">
        <f t="shared" si="12"/>
        <v>21.5</v>
      </c>
      <c r="O63" s="171">
        <f t="shared" si="12"/>
        <v>21.5</v>
      </c>
      <c r="P63" s="171">
        <f t="shared" si="12"/>
        <v>21.5</v>
      </c>
      <c r="Q63" s="171">
        <f t="shared" si="12"/>
        <v>21.5</v>
      </c>
      <c r="R63" s="261" t="s">
        <v>76</v>
      </c>
      <c r="S63" s="262">
        <v>2</v>
      </c>
      <c r="T63" s="261">
        <v>36</v>
      </c>
      <c r="U63" s="182"/>
      <c r="V63" s="182"/>
      <c r="W63" s="182"/>
      <c r="X63" s="182"/>
      <c r="Y63" s="229" t="s">
        <v>937</v>
      </c>
      <c r="Z63" s="229">
        <v>0.47</v>
      </c>
      <c r="AA63" s="229">
        <v>0.61</v>
      </c>
      <c r="AB63" s="229">
        <v>738</v>
      </c>
      <c r="AC63" s="229" t="s">
        <v>50</v>
      </c>
      <c r="AD63" s="229" t="s">
        <v>65</v>
      </c>
      <c r="AE63" s="152">
        <v>0</v>
      </c>
      <c r="AJ63" s="152">
        <v>5</v>
      </c>
      <c r="AP63" s="341" t="s">
        <v>637</v>
      </c>
      <c r="AQ63" s="152" t="s">
        <v>636</v>
      </c>
      <c r="AS63" s="340" t="s">
        <v>426</v>
      </c>
      <c r="AT63" s="409" t="s">
        <v>425</v>
      </c>
      <c r="AU63" s="286" t="s">
        <v>181</v>
      </c>
    </row>
    <row r="64" spans="1:50" ht="15.75" customHeight="1" x14ac:dyDescent="0.25">
      <c r="A64" s="198" t="s">
        <v>1033</v>
      </c>
      <c r="B64" s="538" t="s">
        <v>1025</v>
      </c>
      <c r="C64" s="215">
        <f>AM52</f>
        <v>3.75</v>
      </c>
      <c r="D64" s="215">
        <f>AM53</f>
        <v>3.52</v>
      </c>
      <c r="E64" s="215">
        <f>AM54</f>
        <v>4.04</v>
      </c>
      <c r="F64" s="201">
        <f>AM55</f>
        <v>4.5</v>
      </c>
      <c r="G64" s="200">
        <f>AM56</f>
        <v>4.9345346349566181</v>
      </c>
      <c r="H64" s="171" t="s">
        <v>75</v>
      </c>
      <c r="I64" s="260" t="s">
        <v>218</v>
      </c>
      <c r="J64" s="260">
        <f t="shared" si="11"/>
        <v>11.75</v>
      </c>
      <c r="K64" s="171" t="s">
        <v>218</v>
      </c>
      <c r="L64" s="171" t="s">
        <v>218</v>
      </c>
      <c r="M64" s="171">
        <f t="shared" si="12"/>
        <v>21.5</v>
      </c>
      <c r="N64" s="171">
        <f t="shared" si="12"/>
        <v>21.5</v>
      </c>
      <c r="O64" s="171">
        <f t="shared" si="12"/>
        <v>21.5</v>
      </c>
      <c r="P64" s="171">
        <f t="shared" si="12"/>
        <v>21.5</v>
      </c>
      <c r="Q64" s="171">
        <f t="shared" si="12"/>
        <v>21.5</v>
      </c>
      <c r="R64" s="261" t="s">
        <v>76</v>
      </c>
      <c r="S64" s="262">
        <v>2</v>
      </c>
      <c r="T64" s="261">
        <v>36</v>
      </c>
      <c r="U64" s="182"/>
      <c r="V64" s="182"/>
      <c r="W64" s="182"/>
      <c r="X64" s="182"/>
      <c r="Y64" s="229" t="s">
        <v>938</v>
      </c>
      <c r="Z64" s="229">
        <v>0.47</v>
      </c>
      <c r="AA64" s="229">
        <v>0.61</v>
      </c>
      <c r="AB64" s="229">
        <v>738</v>
      </c>
      <c r="AC64" s="229" t="s">
        <v>50</v>
      </c>
      <c r="AD64" s="229" t="s">
        <v>65</v>
      </c>
      <c r="AE64" s="152">
        <v>0</v>
      </c>
      <c r="AJ64" s="152">
        <v>5</v>
      </c>
      <c r="AK64" s="236" t="s">
        <v>21</v>
      </c>
      <c r="AL64" s="236"/>
      <c r="AM64" s="238" t="s">
        <v>24</v>
      </c>
      <c r="AP64" s="341" t="s">
        <v>626</v>
      </c>
      <c r="AQ64" s="152" t="s">
        <v>631</v>
      </c>
      <c r="AS64" s="340" t="s">
        <v>356</v>
      </c>
      <c r="AT64" s="409" t="s">
        <v>355</v>
      </c>
      <c r="AU64" s="286" t="s">
        <v>165</v>
      </c>
    </row>
    <row r="65" spans="1:47" ht="15.75" customHeight="1" x14ac:dyDescent="0.25">
      <c r="A65" s="198" t="s">
        <v>1034</v>
      </c>
      <c r="B65" s="538" t="s">
        <v>1026</v>
      </c>
      <c r="C65" s="215">
        <f>AM52</f>
        <v>3.75</v>
      </c>
      <c r="D65" s="215">
        <f>AM53</f>
        <v>3.52</v>
      </c>
      <c r="E65" s="215">
        <f>AM54</f>
        <v>4.04</v>
      </c>
      <c r="F65" s="201">
        <f>AM55</f>
        <v>4.5</v>
      </c>
      <c r="G65" s="200">
        <f>AM56</f>
        <v>4.9345346349566181</v>
      </c>
      <c r="H65" s="171" t="s">
        <v>75</v>
      </c>
      <c r="I65" s="260" t="s">
        <v>218</v>
      </c>
      <c r="J65" s="260">
        <f t="shared" si="11"/>
        <v>11.75</v>
      </c>
      <c r="K65" s="171" t="s">
        <v>218</v>
      </c>
      <c r="L65" s="171">
        <f>$AM$69</f>
        <v>24.25</v>
      </c>
      <c r="M65" s="171">
        <f t="shared" si="12"/>
        <v>21.5</v>
      </c>
      <c r="N65" s="171">
        <f t="shared" si="12"/>
        <v>21.5</v>
      </c>
      <c r="O65" s="171">
        <f t="shared" si="12"/>
        <v>21.5</v>
      </c>
      <c r="P65" s="171">
        <f t="shared" si="12"/>
        <v>21.5</v>
      </c>
      <c r="Q65" s="171">
        <f t="shared" si="12"/>
        <v>21.5</v>
      </c>
      <c r="R65" s="261" t="s">
        <v>76</v>
      </c>
      <c r="S65" s="262">
        <v>2</v>
      </c>
      <c r="T65" s="261">
        <v>36</v>
      </c>
      <c r="U65" s="182"/>
      <c r="V65" s="182"/>
      <c r="W65" s="182"/>
      <c r="X65" s="182"/>
      <c r="Y65" s="229" t="s">
        <v>939</v>
      </c>
      <c r="Z65" s="229">
        <v>0.47</v>
      </c>
      <c r="AA65" s="229">
        <v>0.61</v>
      </c>
      <c r="AB65" s="229">
        <v>738</v>
      </c>
      <c r="AC65" s="229" t="s">
        <v>50</v>
      </c>
      <c r="AD65" s="229" t="s">
        <v>65</v>
      </c>
      <c r="AE65" s="152">
        <v>0</v>
      </c>
      <c r="AJ65" s="152">
        <v>5</v>
      </c>
      <c r="AP65" s="341" t="s">
        <v>633</v>
      </c>
      <c r="AQ65" s="152" t="s">
        <v>632</v>
      </c>
      <c r="AS65" s="152" t="s">
        <v>685</v>
      </c>
      <c r="AT65" s="409" t="s">
        <v>684</v>
      </c>
      <c r="AU65" s="286" t="s">
        <v>151</v>
      </c>
    </row>
    <row r="66" spans="1:47" ht="15.75" customHeight="1" x14ac:dyDescent="0.25">
      <c r="A66" s="198" t="s">
        <v>254</v>
      </c>
      <c r="B66" s="533" t="s">
        <v>839</v>
      </c>
      <c r="C66" s="215">
        <f>AM52</f>
        <v>3.75</v>
      </c>
      <c r="D66" s="215">
        <f t="shared" ref="D66:D89" si="13">$AM$53</f>
        <v>3.52</v>
      </c>
      <c r="E66" s="215">
        <f>AM54</f>
        <v>4.04</v>
      </c>
      <c r="F66" s="201">
        <f>AM55</f>
        <v>4.5</v>
      </c>
      <c r="G66" s="200">
        <f>AM56</f>
        <v>4.9345346349566181</v>
      </c>
      <c r="H66" s="171" t="s">
        <v>65</v>
      </c>
      <c r="I66" s="260" t="s">
        <v>218</v>
      </c>
      <c r="J66" s="260">
        <f t="shared" si="11"/>
        <v>11.75</v>
      </c>
      <c r="K66" s="171">
        <f>$AM$68</f>
        <v>15.25</v>
      </c>
      <c r="L66" s="171" t="s">
        <v>218</v>
      </c>
      <c r="M66" s="171">
        <f t="shared" si="12"/>
        <v>21.5</v>
      </c>
      <c r="N66" s="171">
        <f t="shared" si="12"/>
        <v>21.5</v>
      </c>
      <c r="O66" s="171">
        <f t="shared" si="12"/>
        <v>21.5</v>
      </c>
      <c r="P66" s="171">
        <f t="shared" si="12"/>
        <v>21.5</v>
      </c>
      <c r="Q66" s="171">
        <f t="shared" si="12"/>
        <v>21.5</v>
      </c>
      <c r="R66" s="261" t="s">
        <v>76</v>
      </c>
      <c r="S66" s="262">
        <v>2</v>
      </c>
      <c r="T66" s="261">
        <v>36</v>
      </c>
      <c r="U66" s="182"/>
      <c r="V66" s="182"/>
      <c r="W66" s="182"/>
      <c r="X66" s="182"/>
      <c r="Y66" s="229" t="s">
        <v>940</v>
      </c>
      <c r="Z66" s="229">
        <v>0.47</v>
      </c>
      <c r="AA66" s="229">
        <v>0.61</v>
      </c>
      <c r="AB66" s="229">
        <v>738</v>
      </c>
      <c r="AC66" s="229" t="s">
        <v>50</v>
      </c>
      <c r="AD66" s="229" t="s">
        <v>65</v>
      </c>
      <c r="AE66" s="152">
        <v>0</v>
      </c>
      <c r="AJ66" s="152">
        <v>5</v>
      </c>
      <c r="AK66" s="239" t="s">
        <v>31</v>
      </c>
      <c r="AL66" s="239"/>
      <c r="AM66" s="239" t="s">
        <v>48</v>
      </c>
      <c r="AP66" s="341" t="s">
        <v>635</v>
      </c>
      <c r="AQ66" s="152" t="s">
        <v>634</v>
      </c>
      <c r="AS66" s="152" t="s">
        <v>669</v>
      </c>
      <c r="AT66" s="409" t="s">
        <v>714</v>
      </c>
      <c r="AU66" s="286" t="s">
        <v>152</v>
      </c>
    </row>
    <row r="67" spans="1:47" ht="15.75" customHeight="1" x14ac:dyDescent="0.25">
      <c r="A67" s="198" t="s">
        <v>255</v>
      </c>
      <c r="B67" s="533" t="s">
        <v>840</v>
      </c>
      <c r="C67" s="215">
        <f>AM52</f>
        <v>3.75</v>
      </c>
      <c r="D67" s="215">
        <f t="shared" si="13"/>
        <v>3.52</v>
      </c>
      <c r="E67" s="215">
        <f>AM54</f>
        <v>4.04</v>
      </c>
      <c r="F67" s="201">
        <f>AM55</f>
        <v>4.5</v>
      </c>
      <c r="G67" s="200">
        <f>AM56</f>
        <v>4.9345346349566181</v>
      </c>
      <c r="H67" s="171" t="s">
        <v>65</v>
      </c>
      <c r="I67" s="260" t="s">
        <v>218</v>
      </c>
      <c r="J67" s="260">
        <f t="shared" si="11"/>
        <v>11.75</v>
      </c>
      <c r="K67" s="171">
        <f t="shared" ref="K67:K74" si="14">$AM$68</f>
        <v>15.25</v>
      </c>
      <c r="L67" s="171">
        <f>$AM$69</f>
        <v>24.25</v>
      </c>
      <c r="M67" s="171">
        <f t="shared" si="12"/>
        <v>21.5</v>
      </c>
      <c r="N67" s="171">
        <f t="shared" si="12"/>
        <v>21.5</v>
      </c>
      <c r="O67" s="171">
        <f t="shared" si="12"/>
        <v>21.5</v>
      </c>
      <c r="P67" s="171">
        <f t="shared" si="12"/>
        <v>21.5</v>
      </c>
      <c r="Q67" s="171">
        <f t="shared" si="12"/>
        <v>21.5</v>
      </c>
      <c r="R67" s="261" t="s">
        <v>76</v>
      </c>
      <c r="S67" s="262">
        <v>2</v>
      </c>
      <c r="T67" s="261">
        <v>36</v>
      </c>
      <c r="U67" s="182"/>
      <c r="V67" s="182"/>
      <c r="W67" s="182"/>
      <c r="X67" s="182"/>
      <c r="Y67" s="229" t="s">
        <v>1027</v>
      </c>
      <c r="Z67" s="229">
        <v>0.47</v>
      </c>
      <c r="AA67" s="229">
        <v>0.61</v>
      </c>
      <c r="AB67" s="229">
        <v>738</v>
      </c>
      <c r="AC67" s="229" t="s">
        <v>50</v>
      </c>
      <c r="AD67" s="229" t="s">
        <v>65</v>
      </c>
      <c r="AE67" s="152">
        <v>0</v>
      </c>
      <c r="AJ67" s="152">
        <v>5</v>
      </c>
      <c r="AK67" s="240" t="s">
        <v>42</v>
      </c>
      <c r="AL67" s="240"/>
      <c r="AM67" s="266">
        <v>11.75</v>
      </c>
      <c r="AP67" s="341" t="s">
        <v>619</v>
      </c>
      <c r="AQ67" s="152" t="s">
        <v>618</v>
      </c>
      <c r="AS67" s="152" t="s">
        <v>682</v>
      </c>
      <c r="AT67" s="409" t="s">
        <v>683</v>
      </c>
      <c r="AU67" s="286" t="s">
        <v>156</v>
      </c>
    </row>
    <row r="68" spans="1:47" ht="15.75" customHeight="1" x14ac:dyDescent="0.25">
      <c r="A68" s="198" t="s">
        <v>977</v>
      </c>
      <c r="B68" s="198" t="s">
        <v>977</v>
      </c>
      <c r="C68" s="215">
        <f>AM52</f>
        <v>3.75</v>
      </c>
      <c r="D68" s="215">
        <f t="shared" si="13"/>
        <v>3.52</v>
      </c>
      <c r="E68" s="215">
        <f>AM54</f>
        <v>4.04</v>
      </c>
      <c r="F68" s="201">
        <f>AM55</f>
        <v>4.5</v>
      </c>
      <c r="G68" s="200">
        <f>AM56</f>
        <v>4.9345346349566181</v>
      </c>
      <c r="H68" s="171" t="s">
        <v>65</v>
      </c>
      <c r="I68" s="260" t="s">
        <v>218</v>
      </c>
      <c r="J68" s="260">
        <f t="shared" si="11"/>
        <v>11.75</v>
      </c>
      <c r="K68" s="171">
        <f t="shared" si="14"/>
        <v>15.25</v>
      </c>
      <c r="L68" s="171" t="s">
        <v>218</v>
      </c>
      <c r="M68" s="171">
        <f t="shared" si="12"/>
        <v>21.5</v>
      </c>
      <c r="N68" s="171">
        <f t="shared" si="12"/>
        <v>21.5</v>
      </c>
      <c r="O68" s="171">
        <f t="shared" si="12"/>
        <v>21.5</v>
      </c>
      <c r="P68" s="171">
        <f t="shared" si="12"/>
        <v>21.5</v>
      </c>
      <c r="Q68" s="171">
        <f t="shared" si="12"/>
        <v>21.5</v>
      </c>
      <c r="R68" s="261" t="s">
        <v>76</v>
      </c>
      <c r="S68" s="262">
        <v>2</v>
      </c>
      <c r="T68" s="261">
        <v>36</v>
      </c>
      <c r="U68" s="182"/>
      <c r="V68" s="182"/>
      <c r="W68" s="182"/>
      <c r="X68" s="182"/>
      <c r="Y68" s="229" t="s">
        <v>91</v>
      </c>
      <c r="Z68" s="229">
        <v>0.71</v>
      </c>
      <c r="AA68" s="229">
        <v>0.92</v>
      </c>
      <c r="AB68" s="229">
        <v>738</v>
      </c>
      <c r="AC68" s="229" t="s">
        <v>50</v>
      </c>
      <c r="AD68" s="229" t="s">
        <v>65</v>
      </c>
      <c r="AE68" s="152">
        <v>0</v>
      </c>
      <c r="AJ68" s="152">
        <v>5</v>
      </c>
      <c r="AK68" s="281" t="s">
        <v>80</v>
      </c>
      <c r="AL68" s="281"/>
      <c r="AM68" s="266">
        <v>15.25</v>
      </c>
      <c r="AP68" s="373" t="s">
        <v>700</v>
      </c>
      <c r="AQ68" s="373" t="s">
        <v>699</v>
      </c>
      <c r="AS68" s="373" t="s">
        <v>701</v>
      </c>
      <c r="AT68" s="414">
        <v>101010101000001</v>
      </c>
      <c r="AU68" s="286" t="s">
        <v>154</v>
      </c>
    </row>
    <row r="69" spans="1:47" x14ac:dyDescent="0.25">
      <c r="A69" s="198" t="s">
        <v>978</v>
      </c>
      <c r="B69" s="198" t="s">
        <v>978</v>
      </c>
      <c r="C69" s="215">
        <f>AM52</f>
        <v>3.75</v>
      </c>
      <c r="D69" s="215">
        <f t="shared" si="13"/>
        <v>3.52</v>
      </c>
      <c r="E69" s="215">
        <f>AM54</f>
        <v>4.04</v>
      </c>
      <c r="F69" s="201">
        <f>AM55</f>
        <v>4.5</v>
      </c>
      <c r="G69" s="200">
        <f>AM56</f>
        <v>4.9345346349566181</v>
      </c>
      <c r="H69" s="171" t="s">
        <v>75</v>
      </c>
      <c r="I69" s="260" t="s">
        <v>218</v>
      </c>
      <c r="J69" s="260">
        <f t="shared" si="11"/>
        <v>11.75</v>
      </c>
      <c r="K69" s="171">
        <f t="shared" si="14"/>
        <v>15.25</v>
      </c>
      <c r="L69" s="171" t="s">
        <v>218</v>
      </c>
      <c r="M69" s="171">
        <f t="shared" si="12"/>
        <v>21.5</v>
      </c>
      <c r="N69" s="171">
        <f t="shared" si="12"/>
        <v>21.5</v>
      </c>
      <c r="O69" s="171">
        <f t="shared" si="12"/>
        <v>21.5</v>
      </c>
      <c r="P69" s="171">
        <f t="shared" si="12"/>
        <v>21.5</v>
      </c>
      <c r="Q69" s="171">
        <f t="shared" si="12"/>
        <v>21.5</v>
      </c>
      <c r="R69" s="261" t="s">
        <v>76</v>
      </c>
      <c r="S69" s="262">
        <v>2</v>
      </c>
      <c r="T69" s="261">
        <v>36</v>
      </c>
      <c r="U69" s="182"/>
      <c r="V69" s="182"/>
      <c r="W69" s="182"/>
      <c r="X69" s="182"/>
      <c r="Y69" s="229" t="s">
        <v>92</v>
      </c>
      <c r="Z69" s="229">
        <v>0.71</v>
      </c>
      <c r="AA69" s="229">
        <v>0.92</v>
      </c>
      <c r="AB69" s="229">
        <v>738</v>
      </c>
      <c r="AC69" s="229" t="s">
        <v>50</v>
      </c>
      <c r="AD69" s="229" t="s">
        <v>65</v>
      </c>
      <c r="AE69" s="152">
        <v>0</v>
      </c>
      <c r="AJ69" s="152">
        <v>5</v>
      </c>
      <c r="AK69" s="240" t="s">
        <v>217</v>
      </c>
      <c r="AM69" s="266">
        <v>24.25</v>
      </c>
      <c r="AP69" s="341" t="s">
        <v>612</v>
      </c>
      <c r="AQ69" s="152" t="s">
        <v>611</v>
      </c>
      <c r="AS69" s="152" t="s">
        <v>667</v>
      </c>
      <c r="AT69" s="409" t="s">
        <v>429</v>
      </c>
      <c r="AU69" s="286" t="s">
        <v>153</v>
      </c>
    </row>
    <row r="70" spans="1:47" ht="15.75" thickBot="1" x14ac:dyDescent="0.3">
      <c r="A70" s="198" t="s">
        <v>979</v>
      </c>
      <c r="B70" s="198" t="s">
        <v>979</v>
      </c>
      <c r="C70" s="215">
        <f>AM52</f>
        <v>3.75</v>
      </c>
      <c r="D70" s="215">
        <f t="shared" si="13"/>
        <v>3.52</v>
      </c>
      <c r="E70" s="215">
        <f>AM54</f>
        <v>4.04</v>
      </c>
      <c r="F70" s="201">
        <f>AM55</f>
        <v>4.5</v>
      </c>
      <c r="G70" s="200">
        <f>AM56</f>
        <v>4.9345346349566181</v>
      </c>
      <c r="H70" s="171" t="s">
        <v>65</v>
      </c>
      <c r="I70" s="260" t="s">
        <v>218</v>
      </c>
      <c r="J70" s="260">
        <f t="shared" si="11"/>
        <v>11.75</v>
      </c>
      <c r="K70" s="171">
        <f t="shared" si="14"/>
        <v>15.25</v>
      </c>
      <c r="L70" s="171" t="s">
        <v>218</v>
      </c>
      <c r="M70" s="171">
        <f t="shared" si="12"/>
        <v>21.5</v>
      </c>
      <c r="N70" s="171">
        <f t="shared" si="12"/>
        <v>21.5</v>
      </c>
      <c r="O70" s="171">
        <f t="shared" si="12"/>
        <v>21.5</v>
      </c>
      <c r="P70" s="171">
        <f t="shared" si="12"/>
        <v>21.5</v>
      </c>
      <c r="Q70" s="171">
        <f t="shared" si="12"/>
        <v>21.5</v>
      </c>
      <c r="R70" s="261" t="s">
        <v>76</v>
      </c>
      <c r="S70" s="262">
        <v>2</v>
      </c>
      <c r="T70" s="261">
        <v>36</v>
      </c>
      <c r="U70" s="402"/>
      <c r="V70" s="402"/>
      <c r="W70" s="402"/>
      <c r="X70" s="402"/>
      <c r="Y70" s="229" t="s">
        <v>1010</v>
      </c>
      <c r="Z70" s="229">
        <v>0.32</v>
      </c>
      <c r="AA70" s="229">
        <v>0.42</v>
      </c>
      <c r="AB70" s="229">
        <v>738</v>
      </c>
      <c r="AC70" s="229" t="s">
        <v>76</v>
      </c>
      <c r="AD70" s="229" t="s">
        <v>65</v>
      </c>
      <c r="AE70" s="152">
        <v>0</v>
      </c>
      <c r="AJ70" s="152">
        <v>5</v>
      </c>
      <c r="AK70" s="282" t="s">
        <v>49</v>
      </c>
      <c r="AL70" s="283"/>
      <c r="AM70" s="266">
        <v>4</v>
      </c>
      <c r="AP70" s="341" t="s">
        <v>615</v>
      </c>
      <c r="AQ70" s="152" t="s">
        <v>614</v>
      </c>
      <c r="AS70" s="152" t="s">
        <v>716</v>
      </c>
      <c r="AT70" s="409" t="s">
        <v>715</v>
      </c>
      <c r="AU70" s="286" t="s">
        <v>155</v>
      </c>
    </row>
    <row r="71" spans="1:47" x14ac:dyDescent="0.25">
      <c r="A71" s="198" t="s">
        <v>980</v>
      </c>
      <c r="B71" s="198" t="s">
        <v>980</v>
      </c>
      <c r="C71" s="215">
        <f>$AM$52</f>
        <v>3.75</v>
      </c>
      <c r="D71" s="215">
        <f t="shared" si="13"/>
        <v>3.52</v>
      </c>
      <c r="E71" s="215">
        <f t="shared" ref="E71:E89" si="15">$AM$54</f>
        <v>4.04</v>
      </c>
      <c r="F71" s="201">
        <f t="shared" ref="F71:F101" si="16">$AM$55</f>
        <v>4.5</v>
      </c>
      <c r="G71" s="200">
        <f>AM56</f>
        <v>4.9345346349566181</v>
      </c>
      <c r="H71" s="171" t="s">
        <v>65</v>
      </c>
      <c r="I71" s="260" t="s">
        <v>218</v>
      </c>
      <c r="J71" s="260">
        <f>$AM$67</f>
        <v>11.75</v>
      </c>
      <c r="K71" s="171">
        <f t="shared" si="14"/>
        <v>15.25</v>
      </c>
      <c r="L71" s="171" t="s">
        <v>218</v>
      </c>
      <c r="M71" s="171">
        <f t="shared" si="12"/>
        <v>21.5</v>
      </c>
      <c r="N71" s="171">
        <f t="shared" si="12"/>
        <v>21.5</v>
      </c>
      <c r="O71" s="171">
        <f t="shared" si="12"/>
        <v>21.5</v>
      </c>
      <c r="P71" s="171">
        <f t="shared" si="12"/>
        <v>21.5</v>
      </c>
      <c r="Q71" s="171">
        <f t="shared" si="12"/>
        <v>21.5</v>
      </c>
      <c r="R71" s="261" t="s">
        <v>76</v>
      </c>
      <c r="S71" s="262">
        <v>2</v>
      </c>
      <c r="T71" s="261">
        <v>36</v>
      </c>
      <c r="U71" s="182"/>
      <c r="V71" s="182"/>
      <c r="W71" s="182"/>
      <c r="X71" s="182"/>
      <c r="Y71" s="229" t="s">
        <v>1011</v>
      </c>
      <c r="Z71" s="229">
        <v>0.32</v>
      </c>
      <c r="AA71" s="229">
        <v>0.42</v>
      </c>
      <c r="AB71" s="229">
        <v>738</v>
      </c>
      <c r="AC71" s="229" t="s">
        <v>76</v>
      </c>
      <c r="AD71" s="229" t="s">
        <v>65</v>
      </c>
      <c r="AE71" s="152">
        <v>0</v>
      </c>
      <c r="AJ71" s="152">
        <v>5</v>
      </c>
      <c r="AK71" s="240" t="s">
        <v>45</v>
      </c>
      <c r="AL71" s="240"/>
      <c r="AM71" s="266">
        <v>25</v>
      </c>
      <c r="AP71" s="341" t="s">
        <v>639</v>
      </c>
      <c r="AQ71" s="152" t="s">
        <v>638</v>
      </c>
      <c r="AS71" s="152" t="s">
        <v>1004</v>
      </c>
      <c r="AT71" s="409" t="s">
        <v>717</v>
      </c>
      <c r="AU71" s="286" t="s">
        <v>1005</v>
      </c>
    </row>
    <row r="72" spans="1:47" x14ac:dyDescent="0.25">
      <c r="A72" s="198" t="s">
        <v>981</v>
      </c>
      <c r="B72" s="198" t="s">
        <v>981</v>
      </c>
      <c r="C72" s="215" t="s">
        <v>218</v>
      </c>
      <c r="D72" s="215">
        <f t="shared" si="13"/>
        <v>3.52</v>
      </c>
      <c r="E72" s="215">
        <f t="shared" si="15"/>
        <v>4.04</v>
      </c>
      <c r="F72" s="201">
        <f t="shared" si="16"/>
        <v>4.5</v>
      </c>
      <c r="G72" s="200">
        <f>AM56</f>
        <v>4.9345346349566181</v>
      </c>
      <c r="H72" s="171" t="s">
        <v>65</v>
      </c>
      <c r="I72" s="260" t="s">
        <v>218</v>
      </c>
      <c r="J72" s="260">
        <f t="shared" ref="J72:J80" si="17">$AM$67</f>
        <v>11.75</v>
      </c>
      <c r="K72" s="171">
        <f t="shared" si="14"/>
        <v>15.25</v>
      </c>
      <c r="L72" s="171" t="s">
        <v>218</v>
      </c>
      <c r="M72" s="171" t="s">
        <v>218</v>
      </c>
      <c r="N72" s="171" t="s">
        <v>218</v>
      </c>
      <c r="O72" s="171" t="s">
        <v>218</v>
      </c>
      <c r="P72" s="171" t="s">
        <v>218</v>
      </c>
      <c r="Q72" s="171" t="s">
        <v>218</v>
      </c>
      <c r="R72" s="261" t="s">
        <v>76</v>
      </c>
      <c r="S72" s="262">
        <v>2</v>
      </c>
      <c r="T72" s="261">
        <v>36</v>
      </c>
      <c r="U72" s="182"/>
      <c r="V72" s="182"/>
      <c r="W72" s="182"/>
      <c r="X72" s="182"/>
      <c r="Y72" s="229" t="s">
        <v>1012</v>
      </c>
      <c r="Z72" s="229">
        <v>0.32</v>
      </c>
      <c r="AA72" s="229">
        <v>0.42</v>
      </c>
      <c r="AB72" s="229">
        <v>738</v>
      </c>
      <c r="AC72" s="229" t="s">
        <v>76</v>
      </c>
      <c r="AD72" s="229" t="s">
        <v>65</v>
      </c>
      <c r="AE72" s="152">
        <v>0</v>
      </c>
      <c r="AJ72" s="152">
        <v>5</v>
      </c>
      <c r="AP72" s="341" t="s">
        <v>641</v>
      </c>
      <c r="AQ72" s="152" t="s">
        <v>640</v>
      </c>
      <c r="AS72" s="340" t="s">
        <v>415</v>
      </c>
      <c r="AT72" s="409" t="s">
        <v>414</v>
      </c>
      <c r="AU72" s="286" t="s">
        <v>183</v>
      </c>
    </row>
    <row r="73" spans="1:47" ht="15.75" thickBot="1" x14ac:dyDescent="0.3">
      <c r="A73" s="198" t="s">
        <v>982</v>
      </c>
      <c r="B73" s="198" t="s">
        <v>982</v>
      </c>
      <c r="C73" s="215" t="s">
        <v>218</v>
      </c>
      <c r="D73" s="215">
        <f t="shared" si="13"/>
        <v>3.52</v>
      </c>
      <c r="E73" s="215">
        <f t="shared" si="15"/>
        <v>4.04</v>
      </c>
      <c r="F73" s="201">
        <f t="shared" si="16"/>
        <v>4.5</v>
      </c>
      <c r="G73" s="200">
        <f>AM56</f>
        <v>4.9345346349566181</v>
      </c>
      <c r="H73" s="171" t="s">
        <v>65</v>
      </c>
      <c r="I73" s="260" t="s">
        <v>218</v>
      </c>
      <c r="J73" s="260">
        <f t="shared" si="17"/>
        <v>11.75</v>
      </c>
      <c r="K73" s="171">
        <f t="shared" si="14"/>
        <v>15.25</v>
      </c>
      <c r="L73" s="171" t="s">
        <v>218</v>
      </c>
      <c r="M73" s="171" t="s">
        <v>218</v>
      </c>
      <c r="N73" s="171" t="s">
        <v>218</v>
      </c>
      <c r="O73" s="171" t="s">
        <v>218</v>
      </c>
      <c r="P73" s="171" t="s">
        <v>218</v>
      </c>
      <c r="Q73" s="171" t="s">
        <v>218</v>
      </c>
      <c r="R73" s="261" t="s">
        <v>76</v>
      </c>
      <c r="S73" s="262">
        <v>2</v>
      </c>
      <c r="T73" s="261">
        <v>36</v>
      </c>
      <c r="U73" s="402"/>
      <c r="V73" s="402"/>
      <c r="W73" s="402"/>
      <c r="X73" s="402"/>
      <c r="Y73" s="229" t="s">
        <v>1013</v>
      </c>
      <c r="Z73" s="229">
        <v>0.32</v>
      </c>
      <c r="AA73" s="229">
        <v>0.42</v>
      </c>
      <c r="AB73" s="229">
        <v>738</v>
      </c>
      <c r="AC73" s="229" t="s">
        <v>76</v>
      </c>
      <c r="AD73" s="229" t="s">
        <v>65</v>
      </c>
      <c r="AE73" s="152">
        <v>0</v>
      </c>
      <c r="AJ73" s="152">
        <v>5</v>
      </c>
      <c r="AP73" s="341" t="s">
        <v>643</v>
      </c>
      <c r="AQ73" s="152" t="s">
        <v>642</v>
      </c>
      <c r="AS73" s="152" t="s">
        <v>663</v>
      </c>
      <c r="AT73" s="409" t="s">
        <v>662</v>
      </c>
      <c r="AU73" s="286" t="s">
        <v>167</v>
      </c>
    </row>
    <row r="74" spans="1:47" ht="18.75" x14ac:dyDescent="0.3">
      <c r="A74" s="198" t="s">
        <v>983</v>
      </c>
      <c r="B74" s="198" t="s">
        <v>983</v>
      </c>
      <c r="C74" s="215" t="s">
        <v>218</v>
      </c>
      <c r="D74" s="215">
        <f t="shared" si="13"/>
        <v>3.52</v>
      </c>
      <c r="E74" s="215">
        <f t="shared" si="15"/>
        <v>4.04</v>
      </c>
      <c r="F74" s="201">
        <f t="shared" si="16"/>
        <v>4.5</v>
      </c>
      <c r="G74" s="200">
        <f>AM56</f>
        <v>4.9345346349566181</v>
      </c>
      <c r="H74" s="171" t="s">
        <v>65</v>
      </c>
      <c r="I74" s="260" t="s">
        <v>218</v>
      </c>
      <c r="J74" s="260">
        <f t="shared" si="17"/>
        <v>11.75</v>
      </c>
      <c r="K74" s="171">
        <f t="shared" si="14"/>
        <v>15.25</v>
      </c>
      <c r="L74" s="171" t="s">
        <v>218</v>
      </c>
      <c r="M74" s="171" t="s">
        <v>218</v>
      </c>
      <c r="N74" s="171" t="s">
        <v>218</v>
      </c>
      <c r="O74" s="171" t="s">
        <v>218</v>
      </c>
      <c r="P74" s="171" t="s">
        <v>218</v>
      </c>
      <c r="Q74" s="171" t="s">
        <v>218</v>
      </c>
      <c r="R74" s="261" t="s">
        <v>76</v>
      </c>
      <c r="S74" s="262">
        <v>2</v>
      </c>
      <c r="T74" s="261">
        <v>36</v>
      </c>
      <c r="U74" s="182"/>
      <c r="V74" s="182"/>
      <c r="W74" s="182"/>
      <c r="X74" s="182"/>
      <c r="Y74" s="229" t="s">
        <v>1014</v>
      </c>
      <c r="Z74" s="229">
        <v>0.32</v>
      </c>
      <c r="AA74" s="229">
        <v>0.42</v>
      </c>
      <c r="AB74" s="229">
        <v>738</v>
      </c>
      <c r="AC74" s="229" t="s">
        <v>76</v>
      </c>
      <c r="AD74" s="229" t="s">
        <v>65</v>
      </c>
      <c r="AE74" s="152">
        <v>0</v>
      </c>
      <c r="AJ74" s="152">
        <v>5</v>
      </c>
      <c r="AK74" s="284" t="s">
        <v>294</v>
      </c>
      <c r="AN74" s="285" t="s">
        <v>24</v>
      </c>
      <c r="AO74" s="312"/>
      <c r="AP74" s="341" t="s">
        <v>625</v>
      </c>
      <c r="AQ74" s="152" t="s">
        <v>624</v>
      </c>
      <c r="AS74" s="340" t="s">
        <v>457</v>
      </c>
      <c r="AT74" s="409" t="s">
        <v>456</v>
      </c>
      <c r="AU74" s="286" t="s">
        <v>163</v>
      </c>
    </row>
    <row r="75" spans="1:47" ht="15.75" thickBot="1" x14ac:dyDescent="0.3">
      <c r="A75" s="198" t="s">
        <v>983</v>
      </c>
      <c r="B75" s="198" t="s">
        <v>983</v>
      </c>
      <c r="C75" s="215" t="s">
        <v>218</v>
      </c>
      <c r="D75" s="215">
        <f t="shared" si="13"/>
        <v>3.52</v>
      </c>
      <c r="E75" s="215">
        <f t="shared" si="15"/>
        <v>4.04</v>
      </c>
      <c r="F75" s="201">
        <f t="shared" si="16"/>
        <v>4.5</v>
      </c>
      <c r="G75" s="200">
        <f>AM56</f>
        <v>4.9345346349566181</v>
      </c>
      <c r="H75" s="171" t="s">
        <v>65</v>
      </c>
      <c r="I75" s="260" t="s">
        <v>218</v>
      </c>
      <c r="J75" s="260">
        <f t="shared" si="17"/>
        <v>11.75</v>
      </c>
      <c r="K75" s="171" t="s">
        <v>218</v>
      </c>
      <c r="L75" s="171" t="s">
        <v>218</v>
      </c>
      <c r="M75" s="171" t="s">
        <v>218</v>
      </c>
      <c r="N75" s="171" t="s">
        <v>218</v>
      </c>
      <c r="O75" s="171" t="s">
        <v>218</v>
      </c>
      <c r="P75" s="171" t="s">
        <v>218</v>
      </c>
      <c r="Q75" s="171" t="s">
        <v>218</v>
      </c>
      <c r="R75" s="261" t="s">
        <v>76</v>
      </c>
      <c r="S75" s="262">
        <v>2</v>
      </c>
      <c r="T75" s="261">
        <v>36</v>
      </c>
      <c r="U75" s="182"/>
      <c r="V75" s="182"/>
      <c r="W75" s="182"/>
      <c r="X75" s="182"/>
      <c r="Y75" s="229" t="s">
        <v>1015</v>
      </c>
      <c r="Z75" s="229">
        <v>0.32</v>
      </c>
      <c r="AA75" s="229">
        <v>0.42</v>
      </c>
      <c r="AB75" s="229">
        <v>738</v>
      </c>
      <c r="AC75" s="229" t="s">
        <v>76</v>
      </c>
      <c r="AD75" s="229" t="s">
        <v>65</v>
      </c>
      <c r="AE75" s="152">
        <v>0</v>
      </c>
      <c r="AJ75" s="152">
        <v>5</v>
      </c>
      <c r="AN75" s="285"/>
      <c r="AO75" s="312"/>
      <c r="AP75" s="341" t="s">
        <v>645</v>
      </c>
      <c r="AQ75" s="152" t="s">
        <v>644</v>
      </c>
      <c r="AS75" s="340" t="s">
        <v>428</v>
      </c>
      <c r="AT75" s="409" t="s">
        <v>427</v>
      </c>
      <c r="AU75" s="286" t="s">
        <v>193</v>
      </c>
    </row>
    <row r="76" spans="1:47" ht="15.75" thickBot="1" x14ac:dyDescent="0.3">
      <c r="A76" s="297" t="s">
        <v>984</v>
      </c>
      <c r="B76" s="297" t="s">
        <v>984</v>
      </c>
      <c r="C76" s="215" t="s">
        <v>218</v>
      </c>
      <c r="D76" s="215">
        <f t="shared" si="13"/>
        <v>3.52</v>
      </c>
      <c r="E76" s="215">
        <f t="shared" si="15"/>
        <v>4.04</v>
      </c>
      <c r="F76" s="201">
        <f t="shared" si="16"/>
        <v>4.5</v>
      </c>
      <c r="G76" s="200">
        <f>AM56</f>
        <v>4.9345346349566181</v>
      </c>
      <c r="H76" s="171" t="s">
        <v>65</v>
      </c>
      <c r="I76" s="260" t="s">
        <v>218</v>
      </c>
      <c r="J76" s="260">
        <f t="shared" si="17"/>
        <v>11.75</v>
      </c>
      <c r="K76" s="171" t="s">
        <v>218</v>
      </c>
      <c r="L76" s="171" t="s">
        <v>218</v>
      </c>
      <c r="M76" s="171" t="s">
        <v>218</v>
      </c>
      <c r="N76" s="171" t="s">
        <v>218</v>
      </c>
      <c r="O76" s="171" t="s">
        <v>218</v>
      </c>
      <c r="P76" s="171" t="s">
        <v>218</v>
      </c>
      <c r="Q76" s="171" t="s">
        <v>218</v>
      </c>
      <c r="R76" s="261" t="s">
        <v>76</v>
      </c>
      <c r="S76" s="262">
        <v>2</v>
      </c>
      <c r="T76" s="261">
        <v>36</v>
      </c>
      <c r="U76" s="182"/>
      <c r="V76" s="182"/>
      <c r="W76" s="182"/>
      <c r="X76" s="182"/>
      <c r="Y76" s="229" t="s">
        <v>863</v>
      </c>
      <c r="Z76" s="229">
        <v>0.32</v>
      </c>
      <c r="AA76" s="229">
        <v>0.42</v>
      </c>
      <c r="AB76" s="229">
        <v>738</v>
      </c>
      <c r="AC76" s="229" t="s">
        <v>76</v>
      </c>
      <c r="AD76" s="229" t="s">
        <v>65</v>
      </c>
      <c r="AE76" s="152">
        <v>0</v>
      </c>
      <c r="AJ76" s="152">
        <v>5</v>
      </c>
      <c r="AK76" s="210" t="s">
        <v>25</v>
      </c>
      <c r="AL76" s="211" t="s">
        <v>26</v>
      </c>
      <c r="AM76" s="211" t="s">
        <v>27</v>
      </c>
      <c r="AN76" s="212" t="s">
        <v>28</v>
      </c>
      <c r="AO76" s="453"/>
      <c r="AP76" s="341" t="s">
        <v>647</v>
      </c>
      <c r="AQ76" s="152" t="s">
        <v>646</v>
      </c>
      <c r="AS76" s="340" t="s">
        <v>466</v>
      </c>
      <c r="AT76" s="409" t="s">
        <v>465</v>
      </c>
      <c r="AU76" s="303" t="s">
        <v>311</v>
      </c>
    </row>
    <row r="77" spans="1:47" ht="15.75" thickBot="1" x14ac:dyDescent="0.3">
      <c r="A77" s="297" t="s">
        <v>985</v>
      </c>
      <c r="B77" s="297" t="s">
        <v>985</v>
      </c>
      <c r="C77" s="215" t="s">
        <v>218</v>
      </c>
      <c r="D77" s="215">
        <f t="shared" si="13"/>
        <v>3.52</v>
      </c>
      <c r="E77" s="215">
        <f t="shared" si="15"/>
        <v>4.04</v>
      </c>
      <c r="F77" s="201">
        <f t="shared" si="16"/>
        <v>4.5</v>
      </c>
      <c r="G77" s="200">
        <f>$AM$53</f>
        <v>3.52</v>
      </c>
      <c r="H77" s="171" t="s">
        <v>65</v>
      </c>
      <c r="I77" s="260" t="s">
        <v>218</v>
      </c>
      <c r="J77" s="260">
        <f t="shared" si="17"/>
        <v>11.75</v>
      </c>
      <c r="K77" s="171" t="s">
        <v>218</v>
      </c>
      <c r="L77" s="171" t="s">
        <v>218</v>
      </c>
      <c r="M77" s="171" t="s">
        <v>218</v>
      </c>
      <c r="N77" s="171" t="s">
        <v>218</v>
      </c>
      <c r="O77" s="171" t="s">
        <v>218</v>
      </c>
      <c r="P77" s="171" t="s">
        <v>218</v>
      </c>
      <c r="Q77" s="171" t="s">
        <v>218</v>
      </c>
      <c r="R77" s="261" t="s">
        <v>76</v>
      </c>
      <c r="S77" s="262">
        <v>2</v>
      </c>
      <c r="T77" s="261">
        <v>36</v>
      </c>
      <c r="U77" s="182"/>
      <c r="V77" s="182"/>
      <c r="W77" s="182"/>
      <c r="X77" s="182"/>
      <c r="Y77" s="229" t="s">
        <v>864</v>
      </c>
      <c r="Z77" s="229">
        <v>0.32</v>
      </c>
      <c r="AA77" s="229">
        <v>0.42</v>
      </c>
      <c r="AB77" s="229">
        <v>738</v>
      </c>
      <c r="AC77" s="229" t="s">
        <v>76</v>
      </c>
      <c r="AD77" s="229" t="s">
        <v>65</v>
      </c>
      <c r="AE77" s="152">
        <v>0</v>
      </c>
      <c r="AJ77" s="152">
        <v>5</v>
      </c>
      <c r="AK77" s="870" t="s">
        <v>259</v>
      </c>
      <c r="AL77" s="871"/>
      <c r="AM77" s="871"/>
      <c r="AN77" s="872"/>
      <c r="AO77" s="454"/>
      <c r="AP77" s="341" t="s">
        <v>649</v>
      </c>
      <c r="AQ77" s="152" t="s">
        <v>648</v>
      </c>
      <c r="AS77" s="340" t="s">
        <v>470</v>
      </c>
      <c r="AT77" s="409" t="s">
        <v>469</v>
      </c>
      <c r="AU77" s="307" t="s">
        <v>312</v>
      </c>
    </row>
    <row r="78" spans="1:47" x14ac:dyDescent="0.25">
      <c r="A78" s="297" t="s">
        <v>874</v>
      </c>
      <c r="B78" s="537" t="s">
        <v>874</v>
      </c>
      <c r="C78" s="215">
        <f t="shared" ref="C78:C89" si="18">$AM$52</f>
        <v>3.75</v>
      </c>
      <c r="D78" s="215">
        <f t="shared" si="13"/>
        <v>3.52</v>
      </c>
      <c r="E78" s="215">
        <f t="shared" si="15"/>
        <v>4.04</v>
      </c>
      <c r="F78" s="201">
        <f t="shared" si="16"/>
        <v>4.5</v>
      </c>
      <c r="G78" s="200">
        <f t="shared" ref="G78:G89" si="19">$AM$53</f>
        <v>3.52</v>
      </c>
      <c r="H78" s="171" t="s">
        <v>65</v>
      </c>
      <c r="I78" s="260" t="s">
        <v>218</v>
      </c>
      <c r="J78" s="260">
        <f t="shared" si="17"/>
        <v>11.75</v>
      </c>
      <c r="K78" s="171">
        <f t="shared" ref="K78:K101" si="20">$AM$68</f>
        <v>15.25</v>
      </c>
      <c r="L78" s="171" t="s">
        <v>218</v>
      </c>
      <c r="M78" s="171">
        <f t="shared" ref="M78:Q80" si="21">$AL$109</f>
        <v>21.5</v>
      </c>
      <c r="N78" s="171">
        <f t="shared" si="21"/>
        <v>21.5</v>
      </c>
      <c r="O78" s="171">
        <f t="shared" si="21"/>
        <v>21.5</v>
      </c>
      <c r="P78" s="171">
        <f t="shared" si="21"/>
        <v>21.5</v>
      </c>
      <c r="Q78" s="171">
        <f t="shared" si="21"/>
        <v>21.5</v>
      </c>
      <c r="R78" s="261" t="s">
        <v>76</v>
      </c>
      <c r="S78" s="262">
        <v>2</v>
      </c>
      <c r="T78" s="261">
        <v>36</v>
      </c>
      <c r="Y78" s="229" t="s">
        <v>865</v>
      </c>
      <c r="Z78" s="229">
        <v>0.32</v>
      </c>
      <c r="AA78" s="229">
        <v>0.42</v>
      </c>
      <c r="AB78" s="229">
        <v>738</v>
      </c>
      <c r="AC78" s="229" t="s">
        <v>76</v>
      </c>
      <c r="AD78" s="229" t="s">
        <v>65</v>
      </c>
      <c r="AE78" s="152">
        <v>0</v>
      </c>
      <c r="AJ78" s="152">
        <v>5</v>
      </c>
      <c r="AK78" s="218">
        <v>10</v>
      </c>
      <c r="AL78" s="287">
        <v>7.41</v>
      </c>
      <c r="AM78" s="287">
        <v>7.52</v>
      </c>
      <c r="AN78" s="288">
        <v>7.85</v>
      </c>
      <c r="AO78" s="455"/>
      <c r="AP78" s="341" t="s">
        <v>651</v>
      </c>
      <c r="AQ78" s="341" t="s">
        <v>650</v>
      </c>
      <c r="AS78" s="340" t="s">
        <v>1006</v>
      </c>
      <c r="AT78" s="409" t="s">
        <v>403</v>
      </c>
      <c r="AU78" s="243" t="s">
        <v>1007</v>
      </c>
    </row>
    <row r="79" spans="1:47" x14ac:dyDescent="0.25">
      <c r="A79" s="297" t="s">
        <v>875</v>
      </c>
      <c r="B79" s="537" t="s">
        <v>875</v>
      </c>
      <c r="C79" s="215">
        <f t="shared" si="18"/>
        <v>3.75</v>
      </c>
      <c r="D79" s="215">
        <f t="shared" si="13"/>
        <v>3.52</v>
      </c>
      <c r="E79" s="215">
        <f t="shared" si="15"/>
        <v>4.04</v>
      </c>
      <c r="F79" s="201">
        <f t="shared" si="16"/>
        <v>4.5</v>
      </c>
      <c r="G79" s="200">
        <f t="shared" si="19"/>
        <v>3.52</v>
      </c>
      <c r="H79" s="171" t="s">
        <v>65</v>
      </c>
      <c r="I79" s="260" t="s">
        <v>218</v>
      </c>
      <c r="J79" s="260">
        <f t="shared" si="17"/>
        <v>11.75</v>
      </c>
      <c r="K79" s="171">
        <f t="shared" si="20"/>
        <v>15.25</v>
      </c>
      <c r="L79" s="171" t="s">
        <v>218</v>
      </c>
      <c r="M79" s="171">
        <f t="shared" si="21"/>
        <v>21.5</v>
      </c>
      <c r="N79" s="171">
        <f t="shared" si="21"/>
        <v>21.5</v>
      </c>
      <c r="O79" s="171">
        <f t="shared" si="21"/>
        <v>21.5</v>
      </c>
      <c r="P79" s="171">
        <f t="shared" si="21"/>
        <v>21.5</v>
      </c>
      <c r="Q79" s="171">
        <f t="shared" si="21"/>
        <v>21.5</v>
      </c>
      <c r="R79" s="261" t="s">
        <v>76</v>
      </c>
      <c r="S79" s="262">
        <v>2</v>
      </c>
      <c r="T79" s="261">
        <v>36</v>
      </c>
      <c r="Y79" s="229" t="s">
        <v>1016</v>
      </c>
      <c r="Z79" s="229">
        <v>0.32</v>
      </c>
      <c r="AA79" s="229">
        <v>0.42</v>
      </c>
      <c r="AB79" s="229">
        <v>738</v>
      </c>
      <c r="AC79" s="229" t="s">
        <v>76</v>
      </c>
      <c r="AD79" s="229" t="s">
        <v>65</v>
      </c>
      <c r="AE79" s="152">
        <v>0</v>
      </c>
      <c r="AJ79" s="152">
        <v>5</v>
      </c>
      <c r="AK79" s="221">
        <v>16</v>
      </c>
      <c r="AL79" s="289">
        <v>8.17</v>
      </c>
      <c r="AM79" s="289">
        <v>8.35</v>
      </c>
      <c r="AN79" s="290">
        <v>8.69</v>
      </c>
      <c r="AO79" s="455"/>
      <c r="AP79" s="341" t="s">
        <v>653</v>
      </c>
      <c r="AQ79" s="341" t="s">
        <v>652</v>
      </c>
      <c r="AS79" s="340" t="s">
        <v>379</v>
      </c>
      <c r="AT79" s="409" t="s">
        <v>378</v>
      </c>
      <c r="AU79" s="286" t="s">
        <v>91</v>
      </c>
    </row>
    <row r="80" spans="1:47" ht="15" customHeight="1" thickBot="1" x14ac:dyDescent="0.3">
      <c r="A80" s="297" t="s">
        <v>876</v>
      </c>
      <c r="B80" s="537" t="s">
        <v>876</v>
      </c>
      <c r="C80" s="215">
        <f t="shared" si="18"/>
        <v>3.75</v>
      </c>
      <c r="D80" s="215">
        <f t="shared" si="13"/>
        <v>3.52</v>
      </c>
      <c r="E80" s="215">
        <f t="shared" si="15"/>
        <v>4.04</v>
      </c>
      <c r="F80" s="201">
        <f t="shared" si="16"/>
        <v>4.5</v>
      </c>
      <c r="G80" s="200">
        <f t="shared" si="19"/>
        <v>3.52</v>
      </c>
      <c r="H80" s="171" t="s">
        <v>65</v>
      </c>
      <c r="I80" s="260" t="s">
        <v>218</v>
      </c>
      <c r="J80" s="260">
        <f t="shared" si="17"/>
        <v>11.75</v>
      </c>
      <c r="K80" s="171">
        <f t="shared" si="20"/>
        <v>15.25</v>
      </c>
      <c r="L80" s="171" t="s">
        <v>218</v>
      </c>
      <c r="M80" s="171">
        <f t="shared" si="21"/>
        <v>21.5</v>
      </c>
      <c r="N80" s="171">
        <f t="shared" si="21"/>
        <v>21.5</v>
      </c>
      <c r="O80" s="171">
        <f t="shared" si="21"/>
        <v>21.5</v>
      </c>
      <c r="P80" s="171">
        <f t="shared" si="21"/>
        <v>21.5</v>
      </c>
      <c r="Q80" s="171">
        <f t="shared" si="21"/>
        <v>21.5</v>
      </c>
      <c r="R80" s="261" t="s">
        <v>76</v>
      </c>
      <c r="S80" s="262">
        <v>2</v>
      </c>
      <c r="T80" s="261">
        <v>36</v>
      </c>
      <c r="Y80" s="229" t="s">
        <v>1017</v>
      </c>
      <c r="Z80" s="229">
        <v>0.32</v>
      </c>
      <c r="AA80" s="229">
        <v>0.42</v>
      </c>
      <c r="AB80" s="229">
        <v>738</v>
      </c>
      <c r="AC80" s="229" t="s">
        <v>76</v>
      </c>
      <c r="AD80" s="229" t="s">
        <v>65</v>
      </c>
      <c r="AE80" s="152">
        <v>0</v>
      </c>
      <c r="AJ80" s="152">
        <v>5</v>
      </c>
      <c r="AK80" s="225">
        <v>18</v>
      </c>
      <c r="AL80" s="291">
        <v>8.58</v>
      </c>
      <c r="AM80" s="291">
        <v>8.69</v>
      </c>
      <c r="AN80" s="292">
        <v>9.02</v>
      </c>
      <c r="AO80" s="455"/>
      <c r="AP80" s="341" t="s">
        <v>655</v>
      </c>
      <c r="AQ80" s="341" t="s">
        <v>654</v>
      </c>
      <c r="AS80" s="340" t="s">
        <v>381</v>
      </c>
      <c r="AT80" s="409" t="s">
        <v>380</v>
      </c>
      <c r="AU80" s="286" t="s">
        <v>92</v>
      </c>
    </row>
    <row r="81" spans="1:47" ht="15.75" thickBot="1" x14ac:dyDescent="0.3">
      <c r="A81" s="297" t="s">
        <v>877</v>
      </c>
      <c r="B81" s="537" t="s">
        <v>877</v>
      </c>
      <c r="C81" s="215">
        <f t="shared" si="18"/>
        <v>3.75</v>
      </c>
      <c r="D81" s="215">
        <f t="shared" si="13"/>
        <v>3.52</v>
      </c>
      <c r="E81" s="215">
        <f t="shared" si="15"/>
        <v>4.04</v>
      </c>
      <c r="F81" s="201">
        <f t="shared" si="16"/>
        <v>4.5</v>
      </c>
      <c r="G81" s="200">
        <f t="shared" si="19"/>
        <v>3.52</v>
      </c>
      <c r="H81" s="171" t="s">
        <v>65</v>
      </c>
      <c r="I81" s="260" t="s">
        <v>218</v>
      </c>
      <c r="J81" s="260">
        <f>$AM$67</f>
        <v>11.75</v>
      </c>
      <c r="K81" s="171">
        <f t="shared" si="20"/>
        <v>15.25</v>
      </c>
      <c r="L81" s="171" t="s">
        <v>218</v>
      </c>
      <c r="M81" s="171" t="s">
        <v>218</v>
      </c>
      <c r="N81" s="171" t="s">
        <v>218</v>
      </c>
      <c r="O81" s="171" t="s">
        <v>218</v>
      </c>
      <c r="P81" s="171" t="s">
        <v>218</v>
      </c>
      <c r="Q81" s="171" t="s">
        <v>218</v>
      </c>
      <c r="R81" s="261" t="s">
        <v>76</v>
      </c>
      <c r="S81" s="262">
        <v>2</v>
      </c>
      <c r="T81" s="261">
        <v>36</v>
      </c>
      <c r="Y81" s="229" t="s">
        <v>1018</v>
      </c>
      <c r="Z81" s="229">
        <v>0.32</v>
      </c>
      <c r="AA81" s="229">
        <v>0.42</v>
      </c>
      <c r="AB81" s="229">
        <v>738</v>
      </c>
      <c r="AC81" s="229" t="s">
        <v>76</v>
      </c>
      <c r="AD81" s="229" t="s">
        <v>65</v>
      </c>
      <c r="AE81" s="152">
        <v>0</v>
      </c>
      <c r="AJ81" s="152">
        <v>5</v>
      </c>
      <c r="AK81" s="870" t="s">
        <v>260</v>
      </c>
      <c r="AL81" s="871"/>
      <c r="AM81" s="871"/>
      <c r="AN81" s="872"/>
      <c r="AO81" s="454"/>
      <c r="AP81" s="341" t="s">
        <v>874</v>
      </c>
      <c r="AQ81" s="341" t="s">
        <v>881</v>
      </c>
      <c r="AR81" s="343"/>
      <c r="AS81" s="340" t="s">
        <v>383</v>
      </c>
      <c r="AT81" s="409" t="s">
        <v>382</v>
      </c>
      <c r="AU81" s="286" t="s">
        <v>95</v>
      </c>
    </row>
    <row r="82" spans="1:47" ht="15.75" customHeight="1" x14ac:dyDescent="0.25">
      <c r="A82" s="297" t="s">
        <v>880</v>
      </c>
      <c r="B82" s="537" t="s">
        <v>880</v>
      </c>
      <c r="C82" s="215">
        <f t="shared" si="18"/>
        <v>3.75</v>
      </c>
      <c r="D82" s="215">
        <f t="shared" si="13"/>
        <v>3.52</v>
      </c>
      <c r="E82" s="215">
        <f t="shared" si="15"/>
        <v>4.04</v>
      </c>
      <c r="F82" s="201">
        <f t="shared" si="16"/>
        <v>4.5</v>
      </c>
      <c r="G82" s="200">
        <f t="shared" si="19"/>
        <v>3.52</v>
      </c>
      <c r="H82" s="171" t="s">
        <v>65</v>
      </c>
      <c r="I82" s="260" t="s">
        <v>218</v>
      </c>
      <c r="J82" s="260">
        <f t="shared" ref="J82:J101" si="22">$AM$67</f>
        <v>11.75</v>
      </c>
      <c r="K82" s="171">
        <f t="shared" si="20"/>
        <v>15.25</v>
      </c>
      <c r="L82" s="171" t="s">
        <v>218</v>
      </c>
      <c r="M82" s="171" t="s">
        <v>218</v>
      </c>
      <c r="N82" s="171" t="s">
        <v>218</v>
      </c>
      <c r="O82" s="171" t="s">
        <v>218</v>
      </c>
      <c r="P82" s="171" t="s">
        <v>218</v>
      </c>
      <c r="Q82" s="171" t="s">
        <v>218</v>
      </c>
      <c r="R82" s="261" t="s">
        <v>76</v>
      </c>
      <c r="S82" s="262">
        <v>2</v>
      </c>
      <c r="T82" s="261">
        <v>36</v>
      </c>
      <c r="U82" s="191" t="s">
        <v>63</v>
      </c>
      <c r="V82" s="192" t="s">
        <v>64</v>
      </c>
      <c r="W82" s="193" t="s">
        <v>63</v>
      </c>
      <c r="X82" s="397" t="s">
        <v>64</v>
      </c>
      <c r="Y82" s="229" t="s">
        <v>1019</v>
      </c>
      <c r="Z82" s="229">
        <v>0.32</v>
      </c>
      <c r="AA82" s="229">
        <v>0.42</v>
      </c>
      <c r="AB82" s="229">
        <v>738</v>
      </c>
      <c r="AC82" s="229" t="s">
        <v>76</v>
      </c>
      <c r="AD82" s="229" t="s">
        <v>65</v>
      </c>
      <c r="AE82" s="152">
        <v>0</v>
      </c>
      <c r="AJ82" s="152">
        <v>5</v>
      </c>
      <c r="AK82" s="218">
        <v>10</v>
      </c>
      <c r="AL82" s="287">
        <v>8.1</v>
      </c>
      <c r="AM82" s="287">
        <v>8.2100000000000009</v>
      </c>
      <c r="AN82" s="288">
        <v>8.58</v>
      </c>
      <c r="AO82" s="455"/>
      <c r="AP82" s="341" t="s">
        <v>875</v>
      </c>
      <c r="AQ82" s="341" t="s">
        <v>882</v>
      </c>
      <c r="AR82" s="343"/>
      <c r="AS82" s="340" t="s">
        <v>385</v>
      </c>
      <c r="AT82" s="409" t="s">
        <v>384</v>
      </c>
      <c r="AU82" s="286" t="s">
        <v>94</v>
      </c>
    </row>
    <row r="83" spans="1:47" ht="15.75" customHeight="1" x14ac:dyDescent="0.25">
      <c r="A83" s="297" t="s">
        <v>870</v>
      </c>
      <c r="B83" s="537" t="s">
        <v>870</v>
      </c>
      <c r="C83" s="215">
        <f t="shared" si="18"/>
        <v>3.75</v>
      </c>
      <c r="D83" s="215">
        <f t="shared" si="13"/>
        <v>3.52</v>
      </c>
      <c r="E83" s="215">
        <f t="shared" si="15"/>
        <v>4.04</v>
      </c>
      <c r="F83" s="201">
        <f t="shared" si="16"/>
        <v>4.5</v>
      </c>
      <c r="G83" s="200">
        <f t="shared" si="19"/>
        <v>3.52</v>
      </c>
      <c r="H83" s="171" t="s">
        <v>65</v>
      </c>
      <c r="I83" s="260" t="s">
        <v>218</v>
      </c>
      <c r="J83" s="260">
        <f t="shared" si="22"/>
        <v>11.75</v>
      </c>
      <c r="K83" s="171">
        <f t="shared" si="20"/>
        <v>15.25</v>
      </c>
      <c r="L83" s="171" t="s">
        <v>218</v>
      </c>
      <c r="M83" s="171">
        <f>$AL$109</f>
        <v>21.5</v>
      </c>
      <c r="N83" s="171">
        <f t="shared" ref="N83:Q89" si="23">$AL$109</f>
        <v>21.5</v>
      </c>
      <c r="O83" s="171">
        <f t="shared" si="23"/>
        <v>21.5</v>
      </c>
      <c r="P83" s="171">
        <f t="shared" si="23"/>
        <v>21.5</v>
      </c>
      <c r="Q83" s="171">
        <f t="shared" si="23"/>
        <v>21.5</v>
      </c>
      <c r="R83" s="261" t="s">
        <v>76</v>
      </c>
      <c r="S83" s="262">
        <v>2</v>
      </c>
      <c r="T83" s="261">
        <v>36</v>
      </c>
      <c r="U83" s="203" t="s">
        <v>63</v>
      </c>
      <c r="V83" s="204" t="s">
        <v>64</v>
      </c>
      <c r="W83" s="205" t="s">
        <v>63</v>
      </c>
      <c r="X83" s="398" t="s">
        <v>64</v>
      </c>
      <c r="Y83" s="229" t="s">
        <v>840</v>
      </c>
      <c r="Z83" s="229">
        <v>0.32</v>
      </c>
      <c r="AA83" s="229">
        <v>0.42</v>
      </c>
      <c r="AB83" s="229">
        <v>738</v>
      </c>
      <c r="AC83" s="229" t="s">
        <v>76</v>
      </c>
      <c r="AD83" s="229" t="s">
        <v>65</v>
      </c>
      <c r="AE83" s="152">
        <v>0</v>
      </c>
      <c r="AJ83" s="152">
        <v>5</v>
      </c>
      <c r="AK83" s="221">
        <v>16</v>
      </c>
      <c r="AL83" s="289">
        <v>8.9</v>
      </c>
      <c r="AM83" s="289">
        <v>9.1</v>
      </c>
      <c r="AN83" s="290">
        <v>9.4700000000000006</v>
      </c>
      <c r="AO83" s="455"/>
      <c r="AP83" s="341" t="s">
        <v>876</v>
      </c>
      <c r="AQ83" s="341" t="s">
        <v>883</v>
      </c>
      <c r="AR83" s="343"/>
      <c r="AS83" s="152" t="s">
        <v>718</v>
      </c>
      <c r="AT83" s="409" t="s">
        <v>378</v>
      </c>
      <c r="AU83" s="286" t="s">
        <v>150</v>
      </c>
    </row>
    <row r="84" spans="1:47" ht="15.75" customHeight="1" thickBot="1" x14ac:dyDescent="0.3">
      <c r="A84" s="297" t="s">
        <v>871</v>
      </c>
      <c r="B84" s="537" t="s">
        <v>871</v>
      </c>
      <c r="C84" s="215">
        <f t="shared" si="18"/>
        <v>3.75</v>
      </c>
      <c r="D84" s="215">
        <f t="shared" si="13"/>
        <v>3.52</v>
      </c>
      <c r="E84" s="215">
        <f t="shared" si="15"/>
        <v>4.04</v>
      </c>
      <c r="F84" s="201">
        <f t="shared" si="16"/>
        <v>4.5</v>
      </c>
      <c r="G84" s="200">
        <f t="shared" si="19"/>
        <v>3.52</v>
      </c>
      <c r="H84" s="171" t="s">
        <v>65</v>
      </c>
      <c r="I84" s="260" t="s">
        <v>218</v>
      </c>
      <c r="J84" s="260">
        <f t="shared" si="22"/>
        <v>11.75</v>
      </c>
      <c r="K84" s="171">
        <f t="shared" si="20"/>
        <v>15.25</v>
      </c>
      <c r="L84" s="171" t="s">
        <v>218</v>
      </c>
      <c r="M84" s="171">
        <f t="shared" ref="M84:M89" si="24">$AL$109</f>
        <v>21.5</v>
      </c>
      <c r="N84" s="171">
        <f t="shared" si="23"/>
        <v>21.5</v>
      </c>
      <c r="O84" s="171">
        <f t="shared" si="23"/>
        <v>21.5</v>
      </c>
      <c r="P84" s="171">
        <f t="shared" si="23"/>
        <v>21.5</v>
      </c>
      <c r="Q84" s="171">
        <f t="shared" si="23"/>
        <v>21.5</v>
      </c>
      <c r="R84" s="261" t="s">
        <v>76</v>
      </c>
      <c r="S84" s="262">
        <v>2</v>
      </c>
      <c r="T84" s="261">
        <v>36</v>
      </c>
      <c r="U84" s="381" t="s">
        <v>64</v>
      </c>
      <c r="V84" s="382" t="s">
        <v>63</v>
      </c>
      <c r="W84" s="383" t="s">
        <v>64</v>
      </c>
      <c r="X84" s="399" t="s">
        <v>63</v>
      </c>
      <c r="Y84" s="229" t="s">
        <v>845</v>
      </c>
      <c r="Z84" s="229">
        <v>0.32</v>
      </c>
      <c r="AA84" s="229">
        <v>0.42</v>
      </c>
      <c r="AB84" s="229">
        <v>738</v>
      </c>
      <c r="AC84" s="229" t="s">
        <v>76</v>
      </c>
      <c r="AD84" s="229" t="s">
        <v>65</v>
      </c>
      <c r="AE84" s="152">
        <v>0</v>
      </c>
      <c r="AJ84" s="152">
        <v>5</v>
      </c>
      <c r="AK84" s="294">
        <v>18</v>
      </c>
      <c r="AL84" s="295">
        <v>9.35</v>
      </c>
      <c r="AM84" s="295">
        <v>9.4600000000000009</v>
      </c>
      <c r="AN84" s="296">
        <v>9.82</v>
      </c>
      <c r="AO84" s="455"/>
      <c r="AP84" s="341" t="s">
        <v>870</v>
      </c>
      <c r="AQ84" s="341" t="s">
        <v>884</v>
      </c>
      <c r="AR84" s="343"/>
      <c r="AS84" s="340" t="s">
        <v>1006</v>
      </c>
      <c r="AT84" s="409" t="s">
        <v>403</v>
      </c>
      <c r="AU84" s="229" t="s">
        <v>1007</v>
      </c>
    </row>
    <row r="85" spans="1:47" ht="15.75" customHeight="1" thickBot="1" x14ac:dyDescent="0.3">
      <c r="A85" s="297" t="s">
        <v>872</v>
      </c>
      <c r="B85" s="537" t="s">
        <v>872</v>
      </c>
      <c r="C85" s="215">
        <f t="shared" si="18"/>
        <v>3.75</v>
      </c>
      <c r="D85" s="215">
        <f t="shared" si="13"/>
        <v>3.52</v>
      </c>
      <c r="E85" s="215">
        <f t="shared" si="15"/>
        <v>4.04</v>
      </c>
      <c r="F85" s="201">
        <f t="shared" si="16"/>
        <v>4.5</v>
      </c>
      <c r="G85" s="200">
        <f t="shared" si="19"/>
        <v>3.52</v>
      </c>
      <c r="H85" s="171" t="s">
        <v>65</v>
      </c>
      <c r="I85" s="260" t="s">
        <v>218</v>
      </c>
      <c r="J85" s="260">
        <f t="shared" si="22"/>
        <v>11.75</v>
      </c>
      <c r="K85" s="171">
        <f t="shared" si="20"/>
        <v>15.25</v>
      </c>
      <c r="L85" s="171" t="s">
        <v>218</v>
      </c>
      <c r="M85" s="171">
        <f t="shared" si="24"/>
        <v>21.5</v>
      </c>
      <c r="N85" s="171">
        <f t="shared" si="23"/>
        <v>21.5</v>
      </c>
      <c r="O85" s="171">
        <f t="shared" si="23"/>
        <v>21.5</v>
      </c>
      <c r="P85" s="171">
        <f t="shared" si="23"/>
        <v>21.5</v>
      </c>
      <c r="Q85" s="171">
        <f t="shared" si="23"/>
        <v>21.5</v>
      </c>
      <c r="R85" s="261" t="s">
        <v>76</v>
      </c>
      <c r="S85" s="262">
        <v>2</v>
      </c>
      <c r="T85" s="261">
        <v>36</v>
      </c>
      <c r="U85" s="253" t="s">
        <v>64</v>
      </c>
      <c r="V85" s="254" t="s">
        <v>63</v>
      </c>
      <c r="W85" s="255" t="s">
        <v>64</v>
      </c>
      <c r="X85" s="401" t="s">
        <v>64</v>
      </c>
      <c r="Y85" s="229" t="s">
        <v>839</v>
      </c>
      <c r="Z85" s="229">
        <v>0.32</v>
      </c>
      <c r="AA85" s="229">
        <v>0.42</v>
      </c>
      <c r="AB85" s="229">
        <v>738</v>
      </c>
      <c r="AC85" s="229" t="s">
        <v>76</v>
      </c>
      <c r="AD85" s="229" t="s">
        <v>65</v>
      </c>
      <c r="AE85" s="152">
        <v>0</v>
      </c>
      <c r="AK85" s="870" t="s">
        <v>261</v>
      </c>
      <c r="AL85" s="871"/>
      <c r="AM85" s="871"/>
      <c r="AN85" s="872"/>
      <c r="AO85" s="454"/>
      <c r="AP85" s="341" t="s">
        <v>871</v>
      </c>
      <c r="AQ85" s="341" t="s">
        <v>885</v>
      </c>
      <c r="AR85" s="343"/>
      <c r="AS85" s="340" t="s">
        <v>387</v>
      </c>
      <c r="AT85" s="409" t="s">
        <v>386</v>
      </c>
      <c r="AU85" s="293" t="s">
        <v>93</v>
      </c>
    </row>
    <row r="86" spans="1:47" x14ac:dyDescent="0.25">
      <c r="A86" s="297" t="s">
        <v>873</v>
      </c>
      <c r="B86" s="537" t="s">
        <v>873</v>
      </c>
      <c r="C86" s="215">
        <f t="shared" si="18"/>
        <v>3.75</v>
      </c>
      <c r="D86" s="215">
        <f t="shared" si="13"/>
        <v>3.52</v>
      </c>
      <c r="E86" s="215">
        <f t="shared" si="15"/>
        <v>4.04</v>
      </c>
      <c r="F86" s="201">
        <f t="shared" si="16"/>
        <v>4.5</v>
      </c>
      <c r="G86" s="200">
        <f t="shared" si="19"/>
        <v>3.52</v>
      </c>
      <c r="H86" s="171" t="s">
        <v>65</v>
      </c>
      <c r="I86" s="260" t="s">
        <v>218</v>
      </c>
      <c r="J86" s="260">
        <f t="shared" si="22"/>
        <v>11.75</v>
      </c>
      <c r="K86" s="171">
        <f t="shared" si="20"/>
        <v>15.25</v>
      </c>
      <c r="L86" s="171" t="s">
        <v>218</v>
      </c>
      <c r="M86" s="171">
        <f t="shared" si="24"/>
        <v>21.5</v>
      </c>
      <c r="N86" s="171">
        <f t="shared" si="23"/>
        <v>21.5</v>
      </c>
      <c r="O86" s="171">
        <f t="shared" si="23"/>
        <v>21.5</v>
      </c>
      <c r="P86" s="171">
        <f t="shared" si="23"/>
        <v>21.5</v>
      </c>
      <c r="Q86" s="171">
        <f t="shared" si="23"/>
        <v>21.5</v>
      </c>
      <c r="R86" s="261" t="s">
        <v>76</v>
      </c>
      <c r="S86" s="262">
        <v>2</v>
      </c>
      <c r="T86" s="261">
        <v>36</v>
      </c>
      <c r="Y86" s="229" t="s">
        <v>1020</v>
      </c>
      <c r="Z86" s="229">
        <v>0.32</v>
      </c>
      <c r="AA86" s="229">
        <v>0.42</v>
      </c>
      <c r="AB86" s="229">
        <v>738</v>
      </c>
      <c r="AC86" s="229" t="s">
        <v>76</v>
      </c>
      <c r="AD86" s="229" t="s">
        <v>65</v>
      </c>
      <c r="AE86" s="152">
        <v>0</v>
      </c>
      <c r="AK86" s="218">
        <v>10</v>
      </c>
      <c r="AL86" s="287">
        <v>7.75</v>
      </c>
      <c r="AM86" s="287">
        <v>7.85</v>
      </c>
      <c r="AN86" s="288">
        <v>8.1999999999999993</v>
      </c>
      <c r="AO86" s="455"/>
      <c r="AP86" s="341" t="s">
        <v>872</v>
      </c>
      <c r="AQ86" s="341" t="s">
        <v>886</v>
      </c>
      <c r="AR86" s="343"/>
      <c r="AS86" s="340" t="s">
        <v>439</v>
      </c>
      <c r="AT86" s="409" t="s">
        <v>438</v>
      </c>
      <c r="AU86" s="300" t="s">
        <v>905</v>
      </c>
    </row>
    <row r="87" spans="1:47" x14ac:dyDescent="0.25">
      <c r="A87" s="297" t="s">
        <v>860</v>
      </c>
      <c r="B87" s="537" t="s">
        <v>860</v>
      </c>
      <c r="C87" s="215">
        <f t="shared" si="18"/>
        <v>3.75</v>
      </c>
      <c r="D87" s="215">
        <f t="shared" si="13"/>
        <v>3.52</v>
      </c>
      <c r="E87" s="215">
        <f t="shared" si="15"/>
        <v>4.04</v>
      </c>
      <c r="F87" s="201">
        <f t="shared" si="16"/>
        <v>4.5</v>
      </c>
      <c r="G87" s="200">
        <f t="shared" si="19"/>
        <v>3.52</v>
      </c>
      <c r="H87" s="171" t="s">
        <v>65</v>
      </c>
      <c r="I87" s="260" t="s">
        <v>218</v>
      </c>
      <c r="J87" s="260">
        <f t="shared" si="22"/>
        <v>11.75</v>
      </c>
      <c r="K87" s="171">
        <f t="shared" si="20"/>
        <v>15.25</v>
      </c>
      <c r="L87" s="171" t="s">
        <v>218</v>
      </c>
      <c r="M87" s="171">
        <f t="shared" si="24"/>
        <v>21.5</v>
      </c>
      <c r="N87" s="171">
        <f t="shared" si="23"/>
        <v>21.5</v>
      </c>
      <c r="O87" s="171">
        <f t="shared" si="23"/>
        <v>21.5</v>
      </c>
      <c r="P87" s="171">
        <f t="shared" si="23"/>
        <v>21.5</v>
      </c>
      <c r="Q87" s="171">
        <f t="shared" si="23"/>
        <v>21.5</v>
      </c>
      <c r="R87" s="261" t="s">
        <v>76</v>
      </c>
      <c r="S87" s="262">
        <v>2</v>
      </c>
      <c r="T87" s="261">
        <v>36</v>
      </c>
      <c r="Y87" s="229" t="s">
        <v>1021</v>
      </c>
      <c r="Z87" s="229">
        <v>0.32</v>
      </c>
      <c r="AA87" s="229">
        <v>0.42</v>
      </c>
      <c r="AB87" s="229">
        <v>738</v>
      </c>
      <c r="AC87" s="229" t="s">
        <v>76</v>
      </c>
      <c r="AD87" s="229" t="s">
        <v>65</v>
      </c>
      <c r="AE87" s="152">
        <v>0</v>
      </c>
      <c r="AK87" s="221">
        <v>16</v>
      </c>
      <c r="AL87" s="289">
        <v>8.52</v>
      </c>
      <c r="AM87" s="289">
        <v>8.7100000000000009</v>
      </c>
      <c r="AN87" s="290">
        <v>9.07</v>
      </c>
      <c r="AO87" s="455"/>
      <c r="AP87" s="341" t="s">
        <v>873</v>
      </c>
      <c r="AQ87" s="341" t="s">
        <v>887</v>
      </c>
      <c r="AR87" s="343"/>
      <c r="AS87" s="340" t="s">
        <v>413</v>
      </c>
      <c r="AT87" s="409" t="s">
        <v>412</v>
      </c>
      <c r="AU87" s="303" t="s">
        <v>903</v>
      </c>
    </row>
    <row r="88" spans="1:47" ht="15.75" thickBot="1" x14ac:dyDescent="0.3">
      <c r="A88" s="297" t="s">
        <v>861</v>
      </c>
      <c r="B88" s="537" t="s">
        <v>861</v>
      </c>
      <c r="C88" s="215">
        <f t="shared" si="18"/>
        <v>3.75</v>
      </c>
      <c r="D88" s="215">
        <f t="shared" si="13"/>
        <v>3.52</v>
      </c>
      <c r="E88" s="215">
        <f t="shared" si="15"/>
        <v>4.04</v>
      </c>
      <c r="F88" s="201">
        <f t="shared" si="16"/>
        <v>4.5</v>
      </c>
      <c r="G88" s="200">
        <f t="shared" si="19"/>
        <v>3.52</v>
      </c>
      <c r="H88" s="171" t="s">
        <v>65</v>
      </c>
      <c r="I88" s="260" t="s">
        <v>218</v>
      </c>
      <c r="J88" s="260">
        <f t="shared" si="22"/>
        <v>11.75</v>
      </c>
      <c r="K88" s="171">
        <f t="shared" si="20"/>
        <v>15.25</v>
      </c>
      <c r="L88" s="171" t="s">
        <v>218</v>
      </c>
      <c r="M88" s="171">
        <f t="shared" si="24"/>
        <v>21.5</v>
      </c>
      <c r="N88" s="171">
        <f t="shared" si="23"/>
        <v>21.5</v>
      </c>
      <c r="O88" s="171">
        <f t="shared" si="23"/>
        <v>21.5</v>
      </c>
      <c r="P88" s="171">
        <f t="shared" si="23"/>
        <v>21.5</v>
      </c>
      <c r="Q88" s="171">
        <f t="shared" si="23"/>
        <v>21.5</v>
      </c>
      <c r="R88" s="261" t="s">
        <v>76</v>
      </c>
      <c r="S88" s="262">
        <v>2</v>
      </c>
      <c r="T88" s="261">
        <v>36</v>
      </c>
      <c r="Y88" s="229" t="s">
        <v>1022</v>
      </c>
      <c r="Z88" s="229">
        <v>0.32</v>
      </c>
      <c r="AA88" s="229">
        <v>0.42</v>
      </c>
      <c r="AB88" s="229">
        <v>738</v>
      </c>
      <c r="AC88" s="229" t="s">
        <v>76</v>
      </c>
      <c r="AD88" s="229" t="s">
        <v>65</v>
      </c>
      <c r="AE88" s="152">
        <v>0</v>
      </c>
      <c r="AK88" s="294">
        <v>18</v>
      </c>
      <c r="AL88" s="295">
        <v>8.9499999999999993</v>
      </c>
      <c r="AM88" s="295">
        <v>9.06</v>
      </c>
      <c r="AN88" s="296">
        <v>9.41</v>
      </c>
      <c r="AO88" s="455"/>
      <c r="AP88" s="341" t="s">
        <v>860</v>
      </c>
      <c r="AQ88" s="341" t="s">
        <v>818</v>
      </c>
      <c r="AS88" s="340" t="s">
        <v>441</v>
      </c>
      <c r="AT88" s="409" t="s">
        <v>440</v>
      </c>
      <c r="AU88" s="286" t="s">
        <v>906</v>
      </c>
    </row>
    <row r="89" spans="1:47" ht="16.5" customHeight="1" thickBot="1" x14ac:dyDescent="0.3">
      <c r="A89" s="304" t="s">
        <v>862</v>
      </c>
      <c r="B89" s="537" t="s">
        <v>862</v>
      </c>
      <c r="C89" s="215">
        <f t="shared" si="18"/>
        <v>3.75</v>
      </c>
      <c r="D89" s="215">
        <f t="shared" si="13"/>
        <v>3.52</v>
      </c>
      <c r="E89" s="215">
        <f t="shared" si="15"/>
        <v>4.04</v>
      </c>
      <c r="F89" s="201">
        <f t="shared" si="16"/>
        <v>4.5</v>
      </c>
      <c r="G89" s="200">
        <f t="shared" si="19"/>
        <v>3.52</v>
      </c>
      <c r="H89" s="171" t="s">
        <v>65</v>
      </c>
      <c r="I89" s="260" t="s">
        <v>218</v>
      </c>
      <c r="J89" s="260">
        <f t="shared" si="22"/>
        <v>11.75</v>
      </c>
      <c r="K89" s="171">
        <f t="shared" si="20"/>
        <v>15.25</v>
      </c>
      <c r="L89" s="171" t="s">
        <v>218</v>
      </c>
      <c r="M89" s="171">
        <f t="shared" si="24"/>
        <v>21.5</v>
      </c>
      <c r="N89" s="171">
        <f t="shared" si="23"/>
        <v>21.5</v>
      </c>
      <c r="O89" s="171">
        <f t="shared" si="23"/>
        <v>21.5</v>
      </c>
      <c r="P89" s="171">
        <f t="shared" si="23"/>
        <v>21.5</v>
      </c>
      <c r="Q89" s="171">
        <f t="shared" si="23"/>
        <v>21.5</v>
      </c>
      <c r="R89" s="261" t="s">
        <v>76</v>
      </c>
      <c r="S89" s="262">
        <v>2</v>
      </c>
      <c r="T89" s="261">
        <v>36</v>
      </c>
      <c r="Y89" s="229" t="s">
        <v>1023</v>
      </c>
      <c r="Z89" s="229">
        <v>0.32</v>
      </c>
      <c r="AA89" s="229">
        <v>0.42</v>
      </c>
      <c r="AB89" s="229">
        <v>738</v>
      </c>
      <c r="AC89" s="229" t="s">
        <v>76</v>
      </c>
      <c r="AD89" s="229" t="s">
        <v>65</v>
      </c>
      <c r="AE89" s="152">
        <v>0</v>
      </c>
      <c r="AK89" s="867" t="s">
        <v>262</v>
      </c>
      <c r="AL89" s="868"/>
      <c r="AM89" s="868"/>
      <c r="AN89" s="869"/>
      <c r="AO89" s="454"/>
      <c r="AP89" s="341" t="s">
        <v>861</v>
      </c>
      <c r="AQ89" s="341" t="s">
        <v>819</v>
      </c>
      <c r="AS89" s="340" t="s">
        <v>435</v>
      </c>
      <c r="AT89" s="409" t="s">
        <v>434</v>
      </c>
      <c r="AU89" s="521" t="s">
        <v>907</v>
      </c>
    </row>
    <row r="90" spans="1:47" ht="17.25" customHeight="1" thickBot="1" x14ac:dyDescent="0.3">
      <c r="A90" s="539" t="s">
        <v>946</v>
      </c>
      <c r="B90" s="539" t="s">
        <v>946</v>
      </c>
      <c r="C90" s="215" t="s">
        <v>218</v>
      </c>
      <c r="D90" s="215" t="s">
        <v>218</v>
      </c>
      <c r="E90" s="215" t="s">
        <v>218</v>
      </c>
      <c r="F90" s="201">
        <f t="shared" si="16"/>
        <v>4.5</v>
      </c>
      <c r="G90" s="215" t="s">
        <v>218</v>
      </c>
      <c r="H90" s="171" t="s">
        <v>65</v>
      </c>
      <c r="I90" s="260" t="s">
        <v>218</v>
      </c>
      <c r="J90" s="260">
        <f t="shared" si="22"/>
        <v>11.75</v>
      </c>
      <c r="K90" s="171">
        <f t="shared" si="20"/>
        <v>15.25</v>
      </c>
      <c r="L90" s="171" t="s">
        <v>218</v>
      </c>
      <c r="M90" s="171" t="s">
        <v>218</v>
      </c>
      <c r="N90" s="171" t="s">
        <v>218</v>
      </c>
      <c r="O90" s="171" t="s">
        <v>218</v>
      </c>
      <c r="P90" s="171" t="s">
        <v>218</v>
      </c>
      <c r="Q90" s="171" t="s">
        <v>218</v>
      </c>
      <c r="R90" s="261" t="s">
        <v>76</v>
      </c>
      <c r="S90" s="262">
        <v>2</v>
      </c>
      <c r="T90" s="261">
        <v>36</v>
      </c>
      <c r="Y90" s="229" t="s">
        <v>1024</v>
      </c>
      <c r="Z90" s="229">
        <v>0.32</v>
      </c>
      <c r="AA90" s="229">
        <v>0.42</v>
      </c>
      <c r="AB90" s="229">
        <v>738</v>
      </c>
      <c r="AC90" s="229" t="s">
        <v>76</v>
      </c>
      <c r="AD90" s="229" t="s">
        <v>65</v>
      </c>
      <c r="AE90" s="152">
        <v>0</v>
      </c>
      <c r="AK90" s="218">
        <v>10</v>
      </c>
      <c r="AL90" s="287">
        <v>8.4700000000000006</v>
      </c>
      <c r="AM90" s="287">
        <v>8.59</v>
      </c>
      <c r="AN90" s="288">
        <v>8.9700000000000006</v>
      </c>
      <c r="AO90" s="455"/>
      <c r="AP90" s="341" t="s">
        <v>862</v>
      </c>
      <c r="AQ90" s="341" t="s">
        <v>820</v>
      </c>
      <c r="AS90" s="340" t="s">
        <v>437</v>
      </c>
      <c r="AT90" s="409" t="s">
        <v>436</v>
      </c>
      <c r="AU90" s="521" t="s">
        <v>908</v>
      </c>
    </row>
    <row r="91" spans="1:47" x14ac:dyDescent="0.25">
      <c r="A91" s="539" t="s">
        <v>947</v>
      </c>
      <c r="B91" s="539" t="s">
        <v>947</v>
      </c>
      <c r="C91" s="215" t="s">
        <v>218</v>
      </c>
      <c r="D91" s="215" t="s">
        <v>218</v>
      </c>
      <c r="E91" s="215" t="s">
        <v>218</v>
      </c>
      <c r="F91" s="201">
        <f t="shared" si="16"/>
        <v>4.5</v>
      </c>
      <c r="G91" s="215" t="s">
        <v>218</v>
      </c>
      <c r="H91" s="171" t="s">
        <v>65</v>
      </c>
      <c r="I91" s="260" t="s">
        <v>218</v>
      </c>
      <c r="J91" s="260">
        <f t="shared" si="22"/>
        <v>11.75</v>
      </c>
      <c r="K91" s="171">
        <f t="shared" si="20"/>
        <v>15.25</v>
      </c>
      <c r="L91" s="171" t="s">
        <v>218</v>
      </c>
      <c r="M91" s="171" t="s">
        <v>218</v>
      </c>
      <c r="N91" s="171" t="s">
        <v>218</v>
      </c>
      <c r="O91" s="171" t="s">
        <v>218</v>
      </c>
      <c r="P91" s="171" t="s">
        <v>218</v>
      </c>
      <c r="Q91" s="171" t="s">
        <v>218</v>
      </c>
      <c r="R91" s="261" t="s">
        <v>76</v>
      </c>
      <c r="S91" s="403"/>
      <c r="T91" s="404"/>
      <c r="Y91" s="229" t="s">
        <v>1025</v>
      </c>
      <c r="Z91" s="229">
        <v>0.32</v>
      </c>
      <c r="AA91" s="229">
        <v>0.42</v>
      </c>
      <c r="AB91" s="229">
        <v>738</v>
      </c>
      <c r="AC91" s="229" t="s">
        <v>76</v>
      </c>
      <c r="AD91" s="229" t="s">
        <v>65</v>
      </c>
      <c r="AE91" s="152">
        <v>0</v>
      </c>
      <c r="AK91" s="221">
        <v>16</v>
      </c>
      <c r="AL91" s="289">
        <v>9.2899999999999991</v>
      </c>
      <c r="AM91" s="289">
        <v>9.5</v>
      </c>
      <c r="AN91" s="290">
        <v>9.89</v>
      </c>
      <c r="AO91" s="455"/>
      <c r="AS91" s="340" t="s">
        <v>1008</v>
      </c>
      <c r="AT91" s="409" t="s">
        <v>392</v>
      </c>
      <c r="AU91" s="522" t="s">
        <v>1009</v>
      </c>
    </row>
    <row r="92" spans="1:47" ht="15.75" thickBot="1" x14ac:dyDescent="0.3">
      <c r="A92" s="539" t="s">
        <v>948</v>
      </c>
      <c r="B92" s="539" t="s">
        <v>948</v>
      </c>
      <c r="C92" s="215" t="s">
        <v>218</v>
      </c>
      <c r="D92" s="215" t="s">
        <v>218</v>
      </c>
      <c r="E92" s="215" t="s">
        <v>218</v>
      </c>
      <c r="F92" s="201">
        <f t="shared" si="16"/>
        <v>4.5</v>
      </c>
      <c r="G92" s="215" t="s">
        <v>218</v>
      </c>
      <c r="H92" s="171" t="s">
        <v>65</v>
      </c>
      <c r="I92" s="260" t="s">
        <v>218</v>
      </c>
      <c r="J92" s="260">
        <f t="shared" si="22"/>
        <v>11.75</v>
      </c>
      <c r="K92" s="171">
        <f t="shared" si="20"/>
        <v>15.25</v>
      </c>
      <c r="L92" s="171" t="s">
        <v>218</v>
      </c>
      <c r="M92" s="171" t="s">
        <v>218</v>
      </c>
      <c r="N92" s="171" t="s">
        <v>218</v>
      </c>
      <c r="O92" s="171" t="s">
        <v>218</v>
      </c>
      <c r="P92" s="171" t="s">
        <v>218</v>
      </c>
      <c r="Q92" s="171" t="s">
        <v>218</v>
      </c>
      <c r="R92" s="261" t="s">
        <v>76</v>
      </c>
      <c r="S92" s="405"/>
      <c r="T92" s="406"/>
      <c r="Y92" s="229" t="s">
        <v>1026</v>
      </c>
      <c r="Z92" s="229">
        <v>0.32</v>
      </c>
      <c r="AA92" s="229">
        <v>0.42</v>
      </c>
      <c r="AB92" s="229">
        <v>738</v>
      </c>
      <c r="AC92" s="229" t="s">
        <v>76</v>
      </c>
      <c r="AD92" s="229" t="s">
        <v>65</v>
      </c>
      <c r="AE92" s="152">
        <v>0</v>
      </c>
      <c r="AK92" s="235">
        <v>18</v>
      </c>
      <c r="AL92" s="309">
        <v>9.75</v>
      </c>
      <c r="AM92" s="309">
        <v>9.8699999999999992</v>
      </c>
      <c r="AN92" s="310">
        <v>10.25</v>
      </c>
      <c r="AO92" s="455"/>
      <c r="AS92" s="340" t="s">
        <v>398</v>
      </c>
      <c r="AT92" s="409" t="s">
        <v>397</v>
      </c>
      <c r="AU92" s="522" t="s">
        <v>313</v>
      </c>
    </row>
    <row r="93" spans="1:47" x14ac:dyDescent="0.25">
      <c r="A93" s="539" t="s">
        <v>949</v>
      </c>
      <c r="B93" s="539" t="s">
        <v>949</v>
      </c>
      <c r="C93" s="215" t="s">
        <v>218</v>
      </c>
      <c r="D93" s="215" t="s">
        <v>218</v>
      </c>
      <c r="E93" s="215" t="s">
        <v>218</v>
      </c>
      <c r="F93" s="201">
        <f t="shared" si="16"/>
        <v>4.5</v>
      </c>
      <c r="G93" s="215" t="s">
        <v>218</v>
      </c>
      <c r="H93" s="171" t="s">
        <v>65</v>
      </c>
      <c r="I93" s="260" t="s">
        <v>218</v>
      </c>
      <c r="J93" s="260">
        <f t="shared" si="22"/>
        <v>11.75</v>
      </c>
      <c r="K93" s="171">
        <f t="shared" si="20"/>
        <v>15.25</v>
      </c>
      <c r="L93" s="171" t="s">
        <v>218</v>
      </c>
      <c r="M93" s="171" t="s">
        <v>218</v>
      </c>
      <c r="N93" s="171" t="s">
        <v>218</v>
      </c>
      <c r="O93" s="171" t="s">
        <v>218</v>
      </c>
      <c r="P93" s="171" t="s">
        <v>218</v>
      </c>
      <c r="Q93" s="171" t="s">
        <v>218</v>
      </c>
      <c r="R93" s="261" t="s">
        <v>76</v>
      </c>
      <c r="S93" s="405"/>
      <c r="T93" s="406"/>
      <c r="Y93" s="229" t="s">
        <v>870</v>
      </c>
      <c r="Z93" s="229">
        <v>0.32</v>
      </c>
      <c r="AA93" s="229">
        <v>0.42</v>
      </c>
      <c r="AB93" s="229">
        <v>738</v>
      </c>
      <c r="AC93" s="229" t="s">
        <v>76</v>
      </c>
      <c r="AD93" s="229" t="s">
        <v>65</v>
      </c>
      <c r="AE93" s="152">
        <v>0</v>
      </c>
      <c r="AS93" s="340" t="s">
        <v>405</v>
      </c>
      <c r="AT93" s="409" t="s">
        <v>404</v>
      </c>
      <c r="AU93" s="522" t="s">
        <v>314</v>
      </c>
    </row>
    <row r="94" spans="1:47" x14ac:dyDescent="0.25">
      <c r="A94" s="539" t="s">
        <v>950</v>
      </c>
      <c r="B94" s="539" t="s">
        <v>950</v>
      </c>
      <c r="C94" s="215" t="s">
        <v>218</v>
      </c>
      <c r="D94" s="215" t="s">
        <v>218</v>
      </c>
      <c r="E94" s="215" t="s">
        <v>218</v>
      </c>
      <c r="F94" s="201">
        <f t="shared" si="16"/>
        <v>4.5</v>
      </c>
      <c r="G94" s="215" t="s">
        <v>218</v>
      </c>
      <c r="H94" s="171" t="s">
        <v>65</v>
      </c>
      <c r="I94" s="260" t="s">
        <v>218</v>
      </c>
      <c r="J94" s="260">
        <f t="shared" si="22"/>
        <v>11.75</v>
      </c>
      <c r="K94" s="171">
        <f t="shared" si="20"/>
        <v>15.25</v>
      </c>
      <c r="L94" s="171" t="s">
        <v>218</v>
      </c>
      <c r="M94" s="171" t="s">
        <v>218</v>
      </c>
      <c r="N94" s="171" t="s">
        <v>218</v>
      </c>
      <c r="O94" s="171" t="s">
        <v>218</v>
      </c>
      <c r="P94" s="171" t="s">
        <v>218</v>
      </c>
      <c r="Q94" s="171" t="s">
        <v>218</v>
      </c>
      <c r="R94" s="261" t="s">
        <v>76</v>
      </c>
      <c r="S94" s="405"/>
      <c r="T94" s="406"/>
      <c r="Y94" s="229" t="s">
        <v>871</v>
      </c>
      <c r="Z94" s="229">
        <v>0.32</v>
      </c>
      <c r="AA94" s="229">
        <v>0.42</v>
      </c>
      <c r="AB94" s="229">
        <v>738</v>
      </c>
      <c r="AC94" s="229" t="s">
        <v>76</v>
      </c>
      <c r="AD94" s="229" t="s">
        <v>65</v>
      </c>
      <c r="AE94" s="152">
        <v>0</v>
      </c>
      <c r="AI94" s="442">
        <v>1</v>
      </c>
      <c r="AS94" s="340" t="s">
        <v>394</v>
      </c>
      <c r="AT94" s="409" t="s">
        <v>393</v>
      </c>
      <c r="AU94" s="522" t="s">
        <v>315</v>
      </c>
    </row>
    <row r="95" spans="1:47" ht="18" customHeight="1" x14ac:dyDescent="0.25">
      <c r="A95" s="539" t="s">
        <v>951</v>
      </c>
      <c r="B95" s="539" t="s">
        <v>951</v>
      </c>
      <c r="C95" s="215" t="s">
        <v>218</v>
      </c>
      <c r="D95" s="215" t="s">
        <v>218</v>
      </c>
      <c r="E95" s="215" t="s">
        <v>218</v>
      </c>
      <c r="F95" s="201">
        <f t="shared" si="16"/>
        <v>4.5</v>
      </c>
      <c r="G95" s="215" t="s">
        <v>218</v>
      </c>
      <c r="H95" s="171" t="s">
        <v>65</v>
      </c>
      <c r="I95" s="260" t="s">
        <v>218</v>
      </c>
      <c r="J95" s="260">
        <f t="shared" si="22"/>
        <v>11.75</v>
      </c>
      <c r="K95" s="171">
        <f t="shared" si="20"/>
        <v>15.25</v>
      </c>
      <c r="L95" s="171" t="s">
        <v>218</v>
      </c>
      <c r="M95" s="171" t="s">
        <v>218</v>
      </c>
      <c r="N95" s="171" t="s">
        <v>218</v>
      </c>
      <c r="O95" s="171" t="s">
        <v>218</v>
      </c>
      <c r="P95" s="171" t="s">
        <v>218</v>
      </c>
      <c r="Q95" s="171" t="s">
        <v>218</v>
      </c>
      <c r="R95" s="261" t="s">
        <v>76</v>
      </c>
      <c r="S95" s="405"/>
      <c r="T95" s="406"/>
      <c r="Y95" s="229" t="s">
        <v>872</v>
      </c>
      <c r="Z95" s="229">
        <v>0.32</v>
      </c>
      <c r="AA95" s="229">
        <v>0.42</v>
      </c>
      <c r="AB95" s="229">
        <v>738</v>
      </c>
      <c r="AC95" s="229" t="s">
        <v>76</v>
      </c>
      <c r="AD95" s="229" t="s">
        <v>65</v>
      </c>
      <c r="AE95" s="152">
        <v>0</v>
      </c>
      <c r="AI95" s="442">
        <v>1</v>
      </c>
      <c r="AS95" s="340" t="s">
        <v>402</v>
      </c>
      <c r="AT95" s="409" t="s">
        <v>401</v>
      </c>
      <c r="AU95" s="522" t="s">
        <v>316</v>
      </c>
    </row>
    <row r="96" spans="1:47" ht="18" customHeight="1" thickBot="1" x14ac:dyDescent="0.3">
      <c r="A96" s="539" t="s">
        <v>952</v>
      </c>
      <c r="B96" s="539" t="s">
        <v>952</v>
      </c>
      <c r="C96" s="215" t="s">
        <v>218</v>
      </c>
      <c r="D96" s="215" t="s">
        <v>218</v>
      </c>
      <c r="E96" s="215" t="s">
        <v>218</v>
      </c>
      <c r="F96" s="201">
        <f t="shared" si="16"/>
        <v>4.5</v>
      </c>
      <c r="G96" s="215" t="s">
        <v>218</v>
      </c>
      <c r="H96" s="171" t="s">
        <v>65</v>
      </c>
      <c r="I96" s="260" t="s">
        <v>218</v>
      </c>
      <c r="J96" s="260">
        <f t="shared" si="22"/>
        <v>11.75</v>
      </c>
      <c r="K96" s="171">
        <f t="shared" si="20"/>
        <v>15.25</v>
      </c>
      <c r="L96" s="171" t="s">
        <v>218</v>
      </c>
      <c r="M96" s="171" t="s">
        <v>218</v>
      </c>
      <c r="N96" s="171" t="s">
        <v>218</v>
      </c>
      <c r="O96" s="171" t="s">
        <v>218</v>
      </c>
      <c r="P96" s="171" t="s">
        <v>218</v>
      </c>
      <c r="Q96" s="171" t="s">
        <v>218</v>
      </c>
      <c r="R96" s="261" t="s">
        <v>76</v>
      </c>
      <c r="S96" s="407"/>
      <c r="T96" s="408"/>
      <c r="Y96" s="229" t="s">
        <v>873</v>
      </c>
      <c r="Z96" s="229">
        <v>0.32</v>
      </c>
      <c r="AA96" s="229">
        <v>0.42</v>
      </c>
      <c r="AB96" s="229">
        <v>738</v>
      </c>
      <c r="AC96" s="229" t="s">
        <v>76</v>
      </c>
      <c r="AD96" s="229" t="s">
        <v>65</v>
      </c>
      <c r="AE96" s="152">
        <v>0</v>
      </c>
      <c r="AI96" s="442">
        <v>1</v>
      </c>
      <c r="AS96" s="340" t="s">
        <v>396</v>
      </c>
      <c r="AT96" s="409" t="s">
        <v>395</v>
      </c>
      <c r="AU96" s="522" t="s">
        <v>317</v>
      </c>
    </row>
    <row r="97" spans="1:47" ht="18" customHeight="1" x14ac:dyDescent="0.25">
      <c r="A97" s="539" t="s">
        <v>953</v>
      </c>
      <c r="B97" s="539" t="s">
        <v>953</v>
      </c>
      <c r="C97" s="215" t="s">
        <v>218</v>
      </c>
      <c r="D97" s="215" t="s">
        <v>218</v>
      </c>
      <c r="E97" s="215" t="s">
        <v>218</v>
      </c>
      <c r="F97" s="201">
        <f t="shared" si="16"/>
        <v>4.5</v>
      </c>
      <c r="G97" s="215" t="s">
        <v>218</v>
      </c>
      <c r="H97" s="171" t="s">
        <v>65</v>
      </c>
      <c r="I97" s="260" t="s">
        <v>218</v>
      </c>
      <c r="J97" s="260">
        <f t="shared" si="22"/>
        <v>11.75</v>
      </c>
      <c r="K97" s="171">
        <f t="shared" si="20"/>
        <v>15.25</v>
      </c>
      <c r="L97" s="171" t="s">
        <v>218</v>
      </c>
      <c r="M97" s="171" t="s">
        <v>218</v>
      </c>
      <c r="N97" s="171" t="s">
        <v>218</v>
      </c>
      <c r="O97" s="171" t="s">
        <v>218</v>
      </c>
      <c r="P97" s="171" t="s">
        <v>218</v>
      </c>
      <c r="Q97" s="171" t="s">
        <v>218</v>
      </c>
      <c r="R97" s="261" t="s">
        <v>76</v>
      </c>
      <c r="Y97" s="229" t="s">
        <v>874</v>
      </c>
      <c r="Z97" s="229">
        <v>0.32</v>
      </c>
      <c r="AA97" s="229">
        <v>0.42</v>
      </c>
      <c r="AB97" s="229">
        <v>738</v>
      </c>
      <c r="AC97" s="229" t="s">
        <v>76</v>
      </c>
      <c r="AD97" s="229" t="s">
        <v>65</v>
      </c>
      <c r="AE97" s="152">
        <v>0</v>
      </c>
      <c r="AI97" s="442">
        <v>1</v>
      </c>
      <c r="AS97" s="340" t="s">
        <v>400</v>
      </c>
      <c r="AT97" s="409" t="s">
        <v>399</v>
      </c>
      <c r="AU97" s="522" t="s">
        <v>318</v>
      </c>
    </row>
    <row r="98" spans="1:47" ht="18" customHeight="1" x14ac:dyDescent="0.25">
      <c r="A98" s="539" t="s">
        <v>954</v>
      </c>
      <c r="B98" s="539" t="s">
        <v>954</v>
      </c>
      <c r="C98" s="215" t="s">
        <v>218</v>
      </c>
      <c r="D98" s="215" t="s">
        <v>218</v>
      </c>
      <c r="E98" s="215" t="s">
        <v>218</v>
      </c>
      <c r="F98" s="201">
        <f t="shared" si="16"/>
        <v>4.5</v>
      </c>
      <c r="G98" s="215" t="s">
        <v>218</v>
      </c>
      <c r="H98" s="171" t="s">
        <v>65</v>
      </c>
      <c r="I98" s="260" t="s">
        <v>218</v>
      </c>
      <c r="J98" s="260">
        <f t="shared" si="22"/>
        <v>11.75</v>
      </c>
      <c r="K98" s="171">
        <f t="shared" si="20"/>
        <v>15.25</v>
      </c>
      <c r="L98" s="171">
        <f>$AM$69</f>
        <v>24.25</v>
      </c>
      <c r="M98" s="171" t="s">
        <v>218</v>
      </c>
      <c r="N98" s="171" t="s">
        <v>218</v>
      </c>
      <c r="O98" s="171" t="s">
        <v>218</v>
      </c>
      <c r="P98" s="171" t="s">
        <v>218</v>
      </c>
      <c r="Q98" s="171" t="s">
        <v>218</v>
      </c>
      <c r="R98" s="261" t="s">
        <v>76</v>
      </c>
      <c r="Y98" s="229" t="s">
        <v>875</v>
      </c>
      <c r="Z98" s="229">
        <v>0.32</v>
      </c>
      <c r="AA98" s="229">
        <v>0.42</v>
      </c>
      <c r="AB98" s="229">
        <v>738</v>
      </c>
      <c r="AC98" s="229" t="s">
        <v>76</v>
      </c>
      <c r="AD98" s="229" t="s">
        <v>65</v>
      </c>
      <c r="AE98" s="152">
        <v>0</v>
      </c>
      <c r="AI98" s="442">
        <v>1</v>
      </c>
      <c r="AS98" s="341" t="s">
        <v>826</v>
      </c>
      <c r="AT98" s="343" t="s">
        <v>829</v>
      </c>
      <c r="AU98" s="523" t="s">
        <v>826</v>
      </c>
    </row>
    <row r="99" spans="1:47" ht="18" customHeight="1" x14ac:dyDescent="0.3">
      <c r="A99" s="539" t="s">
        <v>955</v>
      </c>
      <c r="B99" s="539" t="s">
        <v>955</v>
      </c>
      <c r="C99" s="215" t="s">
        <v>218</v>
      </c>
      <c r="D99" s="215" t="s">
        <v>218</v>
      </c>
      <c r="E99" s="215" t="s">
        <v>218</v>
      </c>
      <c r="F99" s="201">
        <f t="shared" si="16"/>
        <v>4.5</v>
      </c>
      <c r="G99" s="215" t="s">
        <v>218</v>
      </c>
      <c r="H99" s="171" t="s">
        <v>65</v>
      </c>
      <c r="I99" s="260" t="s">
        <v>218</v>
      </c>
      <c r="J99" s="260">
        <f t="shared" si="22"/>
        <v>11.75</v>
      </c>
      <c r="K99" s="171">
        <f t="shared" si="20"/>
        <v>15.25</v>
      </c>
      <c r="L99" s="171" t="s">
        <v>218</v>
      </c>
      <c r="M99" s="171" t="s">
        <v>218</v>
      </c>
      <c r="N99" s="171" t="s">
        <v>218</v>
      </c>
      <c r="O99" s="171" t="s">
        <v>218</v>
      </c>
      <c r="P99" s="171" t="s">
        <v>218</v>
      </c>
      <c r="Q99" s="171" t="s">
        <v>218</v>
      </c>
      <c r="R99" s="261" t="s">
        <v>76</v>
      </c>
      <c r="Y99" s="229" t="s">
        <v>876</v>
      </c>
      <c r="Z99" s="229">
        <v>0.32</v>
      </c>
      <c r="AA99" s="229">
        <v>0.42</v>
      </c>
      <c r="AB99" s="229">
        <v>738</v>
      </c>
      <c r="AC99" s="229" t="s">
        <v>76</v>
      </c>
      <c r="AD99" s="229" t="s">
        <v>65</v>
      </c>
      <c r="AE99" s="152">
        <v>0</v>
      </c>
      <c r="AI99" s="442">
        <v>1</v>
      </c>
      <c r="AK99" s="311" t="s">
        <v>319</v>
      </c>
      <c r="AL99" s="312" t="s">
        <v>24</v>
      </c>
      <c r="AS99" s="341" t="s">
        <v>827</v>
      </c>
      <c r="AT99" s="343" t="s">
        <v>831</v>
      </c>
      <c r="AU99" s="523" t="s">
        <v>827</v>
      </c>
    </row>
    <row r="100" spans="1:47" ht="17.25" customHeight="1" thickBot="1" x14ac:dyDescent="0.3">
      <c r="A100" s="539" t="s">
        <v>956</v>
      </c>
      <c r="B100" s="539" t="s">
        <v>956</v>
      </c>
      <c r="C100" s="215" t="s">
        <v>218</v>
      </c>
      <c r="D100" s="215" t="s">
        <v>218</v>
      </c>
      <c r="E100" s="215" t="s">
        <v>218</v>
      </c>
      <c r="F100" s="201">
        <f t="shared" si="16"/>
        <v>4.5</v>
      </c>
      <c r="G100" s="215" t="s">
        <v>218</v>
      </c>
      <c r="H100" s="171" t="s">
        <v>65</v>
      </c>
      <c r="I100" s="260" t="s">
        <v>218</v>
      </c>
      <c r="J100" s="260">
        <f t="shared" si="22"/>
        <v>11.75</v>
      </c>
      <c r="K100" s="171">
        <f t="shared" si="20"/>
        <v>15.25</v>
      </c>
      <c r="L100" s="171" t="s">
        <v>218</v>
      </c>
      <c r="M100" s="171" t="s">
        <v>218</v>
      </c>
      <c r="N100" s="171" t="s">
        <v>218</v>
      </c>
      <c r="O100" s="171" t="s">
        <v>218</v>
      </c>
      <c r="P100" s="171" t="s">
        <v>218</v>
      </c>
      <c r="Q100" s="171" t="s">
        <v>218</v>
      </c>
      <c r="R100" s="261" t="s">
        <v>76</v>
      </c>
      <c r="Y100" s="229" t="s">
        <v>877</v>
      </c>
      <c r="Z100" s="229">
        <v>0.32</v>
      </c>
      <c r="AA100" s="229">
        <v>0.42</v>
      </c>
      <c r="AB100" s="229">
        <v>738</v>
      </c>
      <c r="AC100" s="229" t="s">
        <v>76</v>
      </c>
      <c r="AD100" s="229" t="s">
        <v>65</v>
      </c>
      <c r="AE100" s="152">
        <v>0</v>
      </c>
      <c r="AI100" s="442">
        <v>1</v>
      </c>
      <c r="AS100" s="341" t="s">
        <v>828</v>
      </c>
      <c r="AT100" s="343" t="s">
        <v>830</v>
      </c>
      <c r="AU100" s="523" t="s">
        <v>828</v>
      </c>
    </row>
    <row r="101" spans="1:47" ht="17.25" customHeight="1" thickBot="1" x14ac:dyDescent="0.3">
      <c r="A101" s="539" t="s">
        <v>986</v>
      </c>
      <c r="B101" s="539" t="s">
        <v>986</v>
      </c>
      <c r="C101" s="215" t="s">
        <v>218</v>
      </c>
      <c r="D101" s="215" t="s">
        <v>218</v>
      </c>
      <c r="E101" s="215" t="s">
        <v>218</v>
      </c>
      <c r="F101" s="201">
        <f t="shared" si="16"/>
        <v>4.5</v>
      </c>
      <c r="G101" s="215" t="s">
        <v>218</v>
      </c>
      <c r="H101" s="171" t="s">
        <v>65</v>
      </c>
      <c r="I101" s="260" t="s">
        <v>218</v>
      </c>
      <c r="J101" s="260">
        <f t="shared" si="22"/>
        <v>11.75</v>
      </c>
      <c r="K101" s="171">
        <f t="shared" si="20"/>
        <v>15.25</v>
      </c>
      <c r="L101" s="171" t="s">
        <v>218</v>
      </c>
      <c r="M101" s="171" t="s">
        <v>218</v>
      </c>
      <c r="N101" s="171" t="s">
        <v>218</v>
      </c>
      <c r="O101" s="171" t="s">
        <v>218</v>
      </c>
      <c r="P101" s="171" t="s">
        <v>218</v>
      </c>
      <c r="Q101" s="171" t="s">
        <v>218</v>
      </c>
      <c r="R101" s="261" t="s">
        <v>76</v>
      </c>
      <c r="Y101" s="229" t="s">
        <v>878</v>
      </c>
      <c r="Z101" s="229">
        <v>0.32</v>
      </c>
      <c r="AA101" s="229">
        <v>0.42</v>
      </c>
      <c r="AB101" s="229">
        <v>738</v>
      </c>
      <c r="AC101" s="229" t="s">
        <v>76</v>
      </c>
      <c r="AD101" s="229" t="s">
        <v>65</v>
      </c>
      <c r="AE101" s="152">
        <v>0</v>
      </c>
      <c r="AI101" s="442">
        <v>1</v>
      </c>
      <c r="AK101" s="313" t="s">
        <v>286</v>
      </c>
      <c r="AL101" s="314">
        <v>33</v>
      </c>
      <c r="AS101" s="343" t="s">
        <v>895</v>
      </c>
      <c r="AT101" s="343" t="s">
        <v>888</v>
      </c>
      <c r="AU101" s="486" t="s">
        <v>895</v>
      </c>
    </row>
    <row r="102" spans="1:47" ht="17.25" customHeight="1" x14ac:dyDescent="0.25">
      <c r="A102" s="297" t="s">
        <v>45</v>
      </c>
      <c r="B102" s="511" t="s">
        <v>45</v>
      </c>
      <c r="C102" s="298" t="s">
        <v>218</v>
      </c>
      <c r="D102" s="299" t="s">
        <v>218</v>
      </c>
      <c r="E102" s="299" t="s">
        <v>218</v>
      </c>
      <c r="F102" s="259">
        <v>50</v>
      </c>
      <c r="G102" s="189" t="s">
        <v>218</v>
      </c>
      <c r="H102" s="259" t="s">
        <v>75</v>
      </c>
      <c r="I102" s="189" t="s">
        <v>218</v>
      </c>
      <c r="J102" s="189" t="s">
        <v>218</v>
      </c>
      <c r="K102" s="258" t="s">
        <v>218</v>
      </c>
      <c r="L102" s="257" t="s">
        <v>218</v>
      </c>
      <c r="M102" s="189" t="s">
        <v>218</v>
      </c>
      <c r="N102" s="189" t="s">
        <v>218</v>
      </c>
      <c r="O102" s="189" t="s">
        <v>218</v>
      </c>
      <c r="P102" s="189" t="s">
        <v>218</v>
      </c>
      <c r="Q102" s="189" t="s">
        <v>218</v>
      </c>
      <c r="R102" s="324" t="s">
        <v>50</v>
      </c>
      <c r="S102" s="190" t="s">
        <v>52</v>
      </c>
      <c r="T102" s="189">
        <v>36</v>
      </c>
      <c r="Y102" s="229" t="s">
        <v>879</v>
      </c>
      <c r="Z102" s="229">
        <v>0.32</v>
      </c>
      <c r="AA102" s="229">
        <v>0.42</v>
      </c>
      <c r="AB102" s="229">
        <v>738</v>
      </c>
      <c r="AC102" s="229" t="s">
        <v>76</v>
      </c>
      <c r="AD102" s="229" t="s">
        <v>65</v>
      </c>
      <c r="AE102" s="152">
        <v>0</v>
      </c>
      <c r="AI102" s="442">
        <v>1</v>
      </c>
      <c r="AK102" s="315" t="s">
        <v>287</v>
      </c>
      <c r="AL102" s="316">
        <v>33</v>
      </c>
      <c r="AS102" s="343" t="s">
        <v>896</v>
      </c>
      <c r="AT102" s="343" t="s">
        <v>889</v>
      </c>
      <c r="AU102" s="486" t="s">
        <v>896</v>
      </c>
    </row>
    <row r="103" spans="1:47" ht="17.25" customHeight="1" thickBot="1" x14ac:dyDescent="0.3">
      <c r="A103" s="297" t="s">
        <v>126</v>
      </c>
      <c r="B103" s="297" t="s">
        <v>126</v>
      </c>
      <c r="C103" s="301" t="s">
        <v>218</v>
      </c>
      <c r="D103" s="302" t="s">
        <v>218</v>
      </c>
      <c r="E103" s="302" t="s">
        <v>218</v>
      </c>
      <c r="F103" s="262">
        <v>12.5</v>
      </c>
      <c r="G103" s="171" t="s">
        <v>218</v>
      </c>
      <c r="H103" s="262" t="s">
        <v>75</v>
      </c>
      <c r="I103" s="171" t="s">
        <v>218</v>
      </c>
      <c r="J103" s="171" t="s">
        <v>218</v>
      </c>
      <c r="K103" s="261" t="s">
        <v>218</v>
      </c>
      <c r="L103" s="260" t="s">
        <v>218</v>
      </c>
      <c r="M103" s="171" t="s">
        <v>218</v>
      </c>
      <c r="N103" s="171" t="s">
        <v>218</v>
      </c>
      <c r="O103" s="171" t="s">
        <v>218</v>
      </c>
      <c r="P103" s="171" t="s">
        <v>218</v>
      </c>
      <c r="Q103" s="171" t="s">
        <v>218</v>
      </c>
      <c r="R103" s="161" t="s">
        <v>50</v>
      </c>
      <c r="S103" s="202" t="s">
        <v>53</v>
      </c>
      <c r="T103" s="171">
        <v>36</v>
      </c>
      <c r="Y103" s="293" t="s">
        <v>880</v>
      </c>
      <c r="Z103" s="293">
        <v>0.32</v>
      </c>
      <c r="AA103" s="293">
        <v>0.42</v>
      </c>
      <c r="AB103" s="293">
        <v>738</v>
      </c>
      <c r="AC103" s="293" t="s">
        <v>76</v>
      </c>
      <c r="AD103" s="229" t="s">
        <v>65</v>
      </c>
      <c r="AE103" s="152">
        <v>0</v>
      </c>
      <c r="AI103" s="442">
        <v>1</v>
      </c>
      <c r="AK103" s="315" t="s">
        <v>288</v>
      </c>
      <c r="AL103" s="316">
        <v>24.62</v>
      </c>
      <c r="AS103" s="343" t="s">
        <v>897</v>
      </c>
      <c r="AT103" s="343" t="s">
        <v>890</v>
      </c>
      <c r="AU103" s="486" t="s">
        <v>897</v>
      </c>
    </row>
    <row r="104" spans="1:47" ht="15.75" thickBot="1" x14ac:dyDescent="0.3">
      <c r="A104" s="297" t="s">
        <v>127</v>
      </c>
      <c r="B104" s="297" t="s">
        <v>127</v>
      </c>
      <c r="C104" s="301" t="s">
        <v>218</v>
      </c>
      <c r="D104" s="302" t="s">
        <v>218</v>
      </c>
      <c r="E104" s="302" t="s">
        <v>218</v>
      </c>
      <c r="F104" s="262">
        <v>12.5</v>
      </c>
      <c r="G104" s="171" t="s">
        <v>218</v>
      </c>
      <c r="H104" s="262" t="s">
        <v>75</v>
      </c>
      <c r="I104" s="171" t="s">
        <v>218</v>
      </c>
      <c r="J104" s="171" t="s">
        <v>218</v>
      </c>
      <c r="K104" s="261" t="s">
        <v>218</v>
      </c>
      <c r="L104" s="260" t="s">
        <v>218</v>
      </c>
      <c r="M104" s="171" t="s">
        <v>218</v>
      </c>
      <c r="N104" s="171" t="s">
        <v>218</v>
      </c>
      <c r="O104" s="171" t="s">
        <v>218</v>
      </c>
      <c r="P104" s="171" t="s">
        <v>218</v>
      </c>
      <c r="Q104" s="171" t="s">
        <v>218</v>
      </c>
      <c r="R104" s="161" t="s">
        <v>50</v>
      </c>
      <c r="S104" s="380" t="s">
        <v>53</v>
      </c>
      <c r="T104" s="379">
        <v>36</v>
      </c>
      <c r="Y104" s="541" t="s">
        <v>946</v>
      </c>
      <c r="Z104" s="542">
        <v>0.32</v>
      </c>
      <c r="AA104" s="542">
        <v>0.42</v>
      </c>
      <c r="AB104" s="542">
        <v>738</v>
      </c>
      <c r="AC104" s="542" t="s">
        <v>76</v>
      </c>
      <c r="AD104" s="229" t="s">
        <v>65</v>
      </c>
      <c r="AE104" s="152">
        <v>0</v>
      </c>
      <c r="AI104" s="442">
        <v>1</v>
      </c>
      <c r="AK104" s="315" t="s">
        <v>289</v>
      </c>
      <c r="AL104" s="316">
        <v>25.98</v>
      </c>
      <c r="AS104" s="343" t="s">
        <v>898</v>
      </c>
      <c r="AT104" s="343" t="s">
        <v>891</v>
      </c>
      <c r="AU104" s="486" t="s">
        <v>898</v>
      </c>
    </row>
    <row r="105" spans="1:47" ht="15.75" thickBot="1" x14ac:dyDescent="0.3">
      <c r="A105" s="297" t="s">
        <v>128</v>
      </c>
      <c r="B105" s="297" t="s">
        <v>128</v>
      </c>
      <c r="C105" s="301" t="s">
        <v>218</v>
      </c>
      <c r="D105" s="302" t="s">
        <v>218</v>
      </c>
      <c r="E105" s="302" t="s">
        <v>218</v>
      </c>
      <c r="F105" s="262">
        <v>12.5</v>
      </c>
      <c r="G105" s="171" t="s">
        <v>218</v>
      </c>
      <c r="H105" s="262" t="s">
        <v>75</v>
      </c>
      <c r="I105" s="171" t="s">
        <v>218</v>
      </c>
      <c r="J105" s="171" t="s">
        <v>218</v>
      </c>
      <c r="K105" s="261" t="s">
        <v>218</v>
      </c>
      <c r="L105" s="260" t="s">
        <v>218</v>
      </c>
      <c r="M105" s="171" t="s">
        <v>218</v>
      </c>
      <c r="N105" s="171" t="s">
        <v>218</v>
      </c>
      <c r="O105" s="171" t="s">
        <v>218</v>
      </c>
      <c r="P105" s="171" t="s">
        <v>218</v>
      </c>
      <c r="Q105" s="171" t="s">
        <v>218</v>
      </c>
      <c r="R105" s="161" t="s">
        <v>50</v>
      </c>
      <c r="S105" s="252" t="s">
        <v>56</v>
      </c>
      <c r="T105" s="251">
        <v>36</v>
      </c>
      <c r="Y105" s="543" t="s">
        <v>947</v>
      </c>
      <c r="Z105" s="229">
        <v>0.32</v>
      </c>
      <c r="AA105" s="229">
        <v>0.42</v>
      </c>
      <c r="AB105" s="229">
        <v>738</v>
      </c>
      <c r="AC105" s="229" t="s">
        <v>76</v>
      </c>
      <c r="AD105" s="229" t="s">
        <v>65</v>
      </c>
      <c r="AE105" s="152">
        <v>0</v>
      </c>
      <c r="AH105" s="196" t="s">
        <v>83</v>
      </c>
      <c r="AI105" s="442">
        <v>1</v>
      </c>
      <c r="AK105" s="317" t="s">
        <v>290</v>
      </c>
      <c r="AL105" s="318">
        <v>22.16</v>
      </c>
      <c r="AS105" s="343" t="s">
        <v>899</v>
      </c>
      <c r="AT105" s="343" t="s">
        <v>892</v>
      </c>
      <c r="AU105" s="486" t="s">
        <v>899</v>
      </c>
    </row>
    <row r="106" spans="1:47" x14ac:dyDescent="0.25">
      <c r="A106" s="297" t="s">
        <v>129</v>
      </c>
      <c r="B106" s="297" t="s">
        <v>129</v>
      </c>
      <c r="C106" s="301" t="s">
        <v>218</v>
      </c>
      <c r="D106" s="302" t="s">
        <v>218</v>
      </c>
      <c r="E106" s="302" t="s">
        <v>218</v>
      </c>
      <c r="F106" s="262">
        <v>12.5</v>
      </c>
      <c r="G106" s="171" t="s">
        <v>218</v>
      </c>
      <c r="H106" s="262" t="s">
        <v>75</v>
      </c>
      <c r="I106" s="171" t="s">
        <v>218</v>
      </c>
      <c r="J106" s="171" t="s">
        <v>218</v>
      </c>
      <c r="K106" s="261" t="s">
        <v>218</v>
      </c>
      <c r="L106" s="260" t="s">
        <v>218</v>
      </c>
      <c r="M106" s="171" t="s">
        <v>218</v>
      </c>
      <c r="N106" s="171" t="s">
        <v>218</v>
      </c>
      <c r="O106" s="171" t="s">
        <v>218</v>
      </c>
      <c r="P106" s="171" t="s">
        <v>218</v>
      </c>
      <c r="Q106" s="171" t="s">
        <v>218</v>
      </c>
      <c r="R106" s="161" t="s">
        <v>50</v>
      </c>
      <c r="Y106" s="543" t="s">
        <v>948</v>
      </c>
      <c r="Z106" s="229">
        <v>0.32</v>
      </c>
      <c r="AA106" s="229">
        <v>0.42</v>
      </c>
      <c r="AB106" s="229">
        <v>738</v>
      </c>
      <c r="AC106" s="229" t="s">
        <v>76</v>
      </c>
      <c r="AD106" s="229" t="s">
        <v>65</v>
      </c>
      <c r="AE106" s="152">
        <v>0</v>
      </c>
      <c r="AH106" s="208" t="s">
        <v>10</v>
      </c>
      <c r="AI106" s="442">
        <v>1</v>
      </c>
      <c r="AS106" s="343" t="s">
        <v>900</v>
      </c>
      <c r="AT106" s="343" t="s">
        <v>893</v>
      </c>
      <c r="AU106" s="486" t="s">
        <v>900</v>
      </c>
    </row>
    <row r="107" spans="1:47" ht="15.75" thickBot="1" x14ac:dyDescent="0.3">
      <c r="A107" s="304" t="s">
        <v>130</v>
      </c>
      <c r="B107" s="304" t="s">
        <v>130</v>
      </c>
      <c r="C107" s="305" t="s">
        <v>218</v>
      </c>
      <c r="D107" s="306" t="s">
        <v>218</v>
      </c>
      <c r="E107" s="306" t="s">
        <v>218</v>
      </c>
      <c r="F107" s="269">
        <v>2</v>
      </c>
      <c r="G107" s="251" t="s">
        <v>218</v>
      </c>
      <c r="H107" s="269" t="s">
        <v>75</v>
      </c>
      <c r="I107" s="251" t="s">
        <v>218</v>
      </c>
      <c r="J107" s="251" t="s">
        <v>218</v>
      </c>
      <c r="K107" s="268" t="s">
        <v>218</v>
      </c>
      <c r="L107" s="267" t="s">
        <v>218</v>
      </c>
      <c r="M107" s="251" t="s">
        <v>218</v>
      </c>
      <c r="N107" s="251" t="s">
        <v>218</v>
      </c>
      <c r="O107" s="251" t="s">
        <v>218</v>
      </c>
      <c r="P107" s="251" t="s">
        <v>218</v>
      </c>
      <c r="Q107" s="251" t="s">
        <v>218</v>
      </c>
      <c r="R107" s="325" t="s">
        <v>50</v>
      </c>
      <c r="Y107" s="543" t="s">
        <v>949</v>
      </c>
      <c r="Z107" s="229">
        <v>0.32</v>
      </c>
      <c r="AA107" s="229">
        <v>0.42</v>
      </c>
      <c r="AB107" s="229">
        <v>738</v>
      </c>
      <c r="AC107" s="229" t="s">
        <v>76</v>
      </c>
      <c r="AD107" s="229" t="s">
        <v>65</v>
      </c>
      <c r="AE107" s="152">
        <v>0</v>
      </c>
      <c r="AH107" s="208" t="s">
        <v>11</v>
      </c>
      <c r="AI107" s="442">
        <v>1</v>
      </c>
      <c r="AS107" s="343" t="s">
        <v>901</v>
      </c>
      <c r="AT107" s="343" t="s">
        <v>894</v>
      </c>
      <c r="AU107" s="486" t="s">
        <v>901</v>
      </c>
    </row>
    <row r="108" spans="1:47" ht="18.75" x14ac:dyDescent="0.3">
      <c r="Y108" s="543" t="s">
        <v>950</v>
      </c>
      <c r="Z108" s="229">
        <v>0.32</v>
      </c>
      <c r="AA108" s="229">
        <v>0.42</v>
      </c>
      <c r="AB108" s="229">
        <v>738</v>
      </c>
      <c r="AC108" s="229" t="s">
        <v>76</v>
      </c>
      <c r="AD108" s="229" t="s">
        <v>65</v>
      </c>
      <c r="AE108" s="152">
        <v>0</v>
      </c>
      <c r="AH108" s="216" t="s">
        <v>96</v>
      </c>
      <c r="AI108" s="442">
        <v>1</v>
      </c>
      <c r="AK108" s="311" t="s">
        <v>320</v>
      </c>
      <c r="AL108" s="312" t="s">
        <v>24</v>
      </c>
      <c r="AS108" s="340" t="s">
        <v>371</v>
      </c>
      <c r="AT108" s="409" t="s">
        <v>370</v>
      </c>
      <c r="AU108" s="521" t="s">
        <v>141</v>
      </c>
    </row>
    <row r="109" spans="1:47" x14ac:dyDescent="0.25">
      <c r="Y109" s="543" t="s">
        <v>951</v>
      </c>
      <c r="Z109" s="229">
        <v>0.32</v>
      </c>
      <c r="AA109" s="229">
        <v>0.42</v>
      </c>
      <c r="AB109" s="229">
        <v>738</v>
      </c>
      <c r="AC109" s="229" t="s">
        <v>76</v>
      </c>
      <c r="AD109" s="229" t="s">
        <v>65</v>
      </c>
      <c r="AE109" s="152">
        <v>0</v>
      </c>
      <c r="AH109" s="224" t="s">
        <v>295</v>
      </c>
      <c r="AI109" s="442">
        <v>1</v>
      </c>
      <c r="AK109" s="315" t="s">
        <v>288</v>
      </c>
      <c r="AL109" s="316">
        <v>21.5</v>
      </c>
      <c r="AS109" s="340" t="s">
        <v>373</v>
      </c>
      <c r="AT109" s="409" t="s">
        <v>372</v>
      </c>
      <c r="AU109" s="521" t="s">
        <v>140</v>
      </c>
    </row>
    <row r="110" spans="1:47" x14ac:dyDescent="0.25">
      <c r="Y110" s="543" t="s">
        <v>952</v>
      </c>
      <c r="Z110" s="229">
        <v>0.32</v>
      </c>
      <c r="AA110" s="229">
        <v>0.42</v>
      </c>
      <c r="AB110" s="229">
        <v>738</v>
      </c>
      <c r="AC110" s="229" t="s">
        <v>76</v>
      </c>
      <c r="AD110" s="229" t="s">
        <v>65</v>
      </c>
      <c r="AE110" s="152">
        <v>0</v>
      </c>
      <c r="AH110" s="224" t="s">
        <v>291</v>
      </c>
      <c r="AI110" s="442">
        <v>1</v>
      </c>
      <c r="AK110" s="315" t="s">
        <v>289</v>
      </c>
      <c r="AL110" s="316">
        <v>21.5</v>
      </c>
      <c r="AS110" s="340" t="s">
        <v>375</v>
      </c>
      <c r="AT110" s="409" t="s">
        <v>374</v>
      </c>
      <c r="AU110" s="521" t="s">
        <v>139</v>
      </c>
    </row>
    <row r="111" spans="1:47" ht="15.75" thickBot="1" x14ac:dyDescent="0.3">
      <c r="Y111" s="543" t="s">
        <v>953</v>
      </c>
      <c r="Z111" s="229">
        <v>0.32</v>
      </c>
      <c r="AA111" s="229">
        <v>0.42</v>
      </c>
      <c r="AB111" s="229">
        <v>738</v>
      </c>
      <c r="AC111" s="229" t="s">
        <v>76</v>
      </c>
      <c r="AD111" s="229" t="s">
        <v>65</v>
      </c>
      <c r="AE111" s="152">
        <v>0</v>
      </c>
      <c r="AH111" s="224" t="s">
        <v>292</v>
      </c>
      <c r="AI111" s="442">
        <v>1</v>
      </c>
      <c r="AK111" s="317" t="s">
        <v>290</v>
      </c>
      <c r="AL111" s="318">
        <v>17.66</v>
      </c>
      <c r="AS111" s="340" t="s">
        <v>377</v>
      </c>
      <c r="AT111" s="409" t="s">
        <v>376</v>
      </c>
      <c r="AU111" s="521" t="s">
        <v>138</v>
      </c>
    </row>
    <row r="112" spans="1:47" ht="15.75" thickBot="1" x14ac:dyDescent="0.3">
      <c r="Y112" s="543" t="s">
        <v>954</v>
      </c>
      <c r="Z112" s="229">
        <v>0.32</v>
      </c>
      <c r="AA112" s="229">
        <v>0.42</v>
      </c>
      <c r="AB112" s="229">
        <v>738</v>
      </c>
      <c r="AC112" s="229" t="s">
        <v>76</v>
      </c>
      <c r="AD112" s="229" t="s">
        <v>65</v>
      </c>
      <c r="AE112" s="152">
        <v>0</v>
      </c>
      <c r="AH112" s="224" t="s">
        <v>293</v>
      </c>
      <c r="AI112" s="442">
        <v>1</v>
      </c>
      <c r="AS112" s="341" t="s">
        <v>679</v>
      </c>
      <c r="AT112" s="409" t="s">
        <v>348</v>
      </c>
      <c r="AU112" s="521" t="s">
        <v>146</v>
      </c>
    </row>
    <row r="113" spans="1:52" ht="15.75" thickBot="1" x14ac:dyDescent="0.3">
      <c r="A113" s="395" t="s">
        <v>238</v>
      </c>
      <c r="B113" s="396" t="s">
        <v>238</v>
      </c>
      <c r="C113" s="186" t="s">
        <v>218</v>
      </c>
      <c r="D113" s="187">
        <f>AM83</f>
        <v>9.1</v>
      </c>
      <c r="E113" s="187">
        <f>AM84</f>
        <v>9.4600000000000009</v>
      </c>
      <c r="F113" s="188">
        <f>AM85</f>
        <v>0</v>
      </c>
      <c r="G113" s="186" t="s">
        <v>218</v>
      </c>
      <c r="H113" s="189" t="s">
        <v>66</v>
      </c>
      <c r="I113" s="186" t="s">
        <v>218</v>
      </c>
      <c r="J113" s="189">
        <f>$AL$43</f>
        <v>23.25</v>
      </c>
      <c r="K113" s="189" t="s">
        <v>218</v>
      </c>
      <c r="L113" s="189" t="s">
        <v>218</v>
      </c>
      <c r="M113" s="189" t="s">
        <v>218</v>
      </c>
      <c r="N113" s="189" t="s">
        <v>218</v>
      </c>
      <c r="O113" s="189" t="s">
        <v>218</v>
      </c>
      <c r="P113" s="189" t="s">
        <v>218</v>
      </c>
      <c r="Q113" s="189" t="s">
        <v>218</v>
      </c>
      <c r="R113" s="189" t="s">
        <v>50</v>
      </c>
      <c r="Y113" s="543" t="s">
        <v>955</v>
      </c>
      <c r="Z113" s="229">
        <v>0.32</v>
      </c>
      <c r="AA113" s="229">
        <v>0.42</v>
      </c>
      <c r="AB113" s="229">
        <v>738</v>
      </c>
      <c r="AC113" s="229" t="s">
        <v>76</v>
      </c>
      <c r="AD113" s="229" t="s">
        <v>65</v>
      </c>
      <c r="AE113" s="152">
        <v>0</v>
      </c>
      <c r="AH113" s="228" t="s">
        <v>271</v>
      </c>
      <c r="AI113" s="442">
        <v>1</v>
      </c>
      <c r="AL113" s="319"/>
      <c r="AM113" s="319"/>
      <c r="AN113" s="319"/>
      <c r="AO113" s="319"/>
      <c r="AS113" s="341" t="s">
        <v>719</v>
      </c>
      <c r="AT113" s="409" t="s">
        <v>720</v>
      </c>
      <c r="AU113" s="521" t="s">
        <v>145</v>
      </c>
    </row>
    <row r="114" spans="1:52" x14ac:dyDescent="0.25">
      <c r="A114" s="386" t="s">
        <v>239</v>
      </c>
      <c r="B114" s="375" t="s">
        <v>239</v>
      </c>
      <c r="C114" s="200" t="s">
        <v>218</v>
      </c>
      <c r="D114" s="215">
        <f>AN83</f>
        <v>9.4700000000000006</v>
      </c>
      <c r="E114" s="215">
        <f>AN84</f>
        <v>9.82</v>
      </c>
      <c r="F114" s="201">
        <f>AN85</f>
        <v>0</v>
      </c>
      <c r="G114" s="200" t="s">
        <v>218</v>
      </c>
      <c r="H114" s="171" t="s">
        <v>66</v>
      </c>
      <c r="I114" s="200" t="s">
        <v>218</v>
      </c>
      <c r="J114" s="171">
        <f>$AL$43</f>
        <v>23.25</v>
      </c>
      <c r="K114" s="171" t="s">
        <v>218</v>
      </c>
      <c r="L114" s="171" t="s">
        <v>218</v>
      </c>
      <c r="M114" s="171" t="s">
        <v>218</v>
      </c>
      <c r="N114" s="171" t="s">
        <v>218</v>
      </c>
      <c r="O114" s="171" t="s">
        <v>218</v>
      </c>
      <c r="P114" s="171" t="s">
        <v>218</v>
      </c>
      <c r="Q114" s="171" t="s">
        <v>218</v>
      </c>
      <c r="R114" s="171" t="s">
        <v>50</v>
      </c>
      <c r="Y114" s="543" t="s">
        <v>956</v>
      </c>
      <c r="Z114" s="229">
        <v>0.32</v>
      </c>
      <c r="AA114" s="229">
        <v>0.42</v>
      </c>
      <c r="AB114" s="229">
        <v>738</v>
      </c>
      <c r="AC114" s="229" t="s">
        <v>76</v>
      </c>
      <c r="AD114" s="229" t="s">
        <v>65</v>
      </c>
      <c r="AE114" s="152">
        <v>0</v>
      </c>
      <c r="AI114" s="442">
        <v>1</v>
      </c>
      <c r="AS114" s="152" t="s">
        <v>681</v>
      </c>
      <c r="AT114" s="409" t="s">
        <v>680</v>
      </c>
      <c r="AU114" s="521" t="s">
        <v>144</v>
      </c>
    </row>
    <row r="115" spans="1:52" ht="15.75" thickBot="1" x14ac:dyDescent="0.3">
      <c r="A115" s="374" t="s">
        <v>245</v>
      </c>
      <c r="B115" s="375" t="s">
        <v>245</v>
      </c>
      <c r="C115" s="376" t="s">
        <v>218</v>
      </c>
      <c r="D115" s="377">
        <f>$AN$6</f>
        <v>7.12</v>
      </c>
      <c r="E115" s="377">
        <f>AN70</f>
        <v>0</v>
      </c>
      <c r="F115" s="378">
        <f>AN71</f>
        <v>0</v>
      </c>
      <c r="G115" s="376" t="s">
        <v>218</v>
      </c>
      <c r="H115" s="379" t="s">
        <v>66</v>
      </c>
      <c r="I115" s="376" t="s">
        <v>218</v>
      </c>
      <c r="J115" s="379">
        <f>$AL$43</f>
        <v>23.25</v>
      </c>
      <c r="K115" s="379" t="s">
        <v>218</v>
      </c>
      <c r="L115" s="379" t="s">
        <v>218</v>
      </c>
      <c r="M115" s="379" t="s">
        <v>218</v>
      </c>
      <c r="N115" s="379" t="s">
        <v>218</v>
      </c>
      <c r="O115" s="379" t="s">
        <v>218</v>
      </c>
      <c r="P115" s="379" t="s">
        <v>218</v>
      </c>
      <c r="Q115" s="379" t="s">
        <v>218</v>
      </c>
      <c r="R115" s="379" t="s">
        <v>50</v>
      </c>
      <c r="Y115" s="544" t="s">
        <v>957</v>
      </c>
      <c r="Z115" s="545">
        <v>0.32</v>
      </c>
      <c r="AA115" s="545">
        <v>0.42</v>
      </c>
      <c r="AB115" s="545">
        <v>738</v>
      </c>
      <c r="AC115" s="545" t="s">
        <v>76</v>
      </c>
      <c r="AD115" s="229" t="s">
        <v>65</v>
      </c>
      <c r="AI115" s="442">
        <v>1</v>
      </c>
      <c r="AS115" s="152" t="s">
        <v>360</v>
      </c>
      <c r="AT115" s="409" t="s">
        <v>359</v>
      </c>
      <c r="AU115" s="521" t="s">
        <v>143</v>
      </c>
    </row>
    <row r="116" spans="1:52" ht="15.75" thickBot="1" x14ac:dyDescent="0.3">
      <c r="A116" s="400" t="s">
        <v>250</v>
      </c>
      <c r="B116" s="400" t="s">
        <v>850</v>
      </c>
      <c r="C116" s="248" t="s">
        <v>218</v>
      </c>
      <c r="D116" s="249">
        <f>AM57</f>
        <v>0</v>
      </c>
      <c r="E116" s="249" t="str">
        <f>AM58</f>
        <v>*Prices in $/f</v>
      </c>
      <c r="F116" s="250">
        <f>AM59</f>
        <v>0</v>
      </c>
      <c r="G116" s="248" t="s">
        <v>218</v>
      </c>
      <c r="H116" s="251" t="s">
        <v>66</v>
      </c>
      <c r="I116" s="248" t="s">
        <v>218</v>
      </c>
      <c r="J116" s="251">
        <f>AL90</f>
        <v>8.4700000000000006</v>
      </c>
      <c r="K116" s="251" t="s">
        <v>218</v>
      </c>
      <c r="L116" s="251" t="s">
        <v>218</v>
      </c>
      <c r="M116" s="251" t="s">
        <v>218</v>
      </c>
      <c r="N116" s="251" t="s">
        <v>218</v>
      </c>
      <c r="O116" s="251" t="s">
        <v>218</v>
      </c>
      <c r="P116" s="251" t="s">
        <v>218</v>
      </c>
      <c r="Q116" s="251" t="s">
        <v>218</v>
      </c>
      <c r="R116" s="251" t="s">
        <v>50</v>
      </c>
      <c r="Y116" s="540" t="s">
        <v>212</v>
      </c>
      <c r="Z116" s="540">
        <v>0</v>
      </c>
      <c r="AA116" s="540">
        <v>0</v>
      </c>
      <c r="AB116" s="540">
        <v>0</v>
      </c>
      <c r="AC116" s="540" t="s">
        <v>50</v>
      </c>
      <c r="AD116" s="540" t="s">
        <v>75</v>
      </c>
      <c r="AI116" s="442">
        <v>1</v>
      </c>
      <c r="AJ116" s="345" t="s">
        <v>660</v>
      </c>
      <c r="AK116" s="346" t="s">
        <v>657</v>
      </c>
      <c r="AS116" s="340" t="s">
        <v>354</v>
      </c>
      <c r="AT116" s="409" t="s">
        <v>353</v>
      </c>
      <c r="AU116" s="229" t="s">
        <v>840</v>
      </c>
    </row>
    <row r="117" spans="1:52" x14ac:dyDescent="0.25">
      <c r="AI117" s="442">
        <v>1</v>
      </c>
      <c r="AJ117" s="347" t="s">
        <v>659</v>
      </c>
      <c r="AK117" s="348" t="s">
        <v>344</v>
      </c>
      <c r="AS117" s="461" t="s">
        <v>822</v>
      </c>
      <c r="AT117" s="462" t="s">
        <v>821</v>
      </c>
      <c r="AU117" s="463" t="s">
        <v>142</v>
      </c>
      <c r="AZ117" s="341"/>
    </row>
    <row r="118" spans="1:52" x14ac:dyDescent="0.25">
      <c r="AI118" s="442">
        <v>1</v>
      </c>
      <c r="AJ118" s="347">
        <v>1</v>
      </c>
      <c r="AK118" s="348" t="s">
        <v>259</v>
      </c>
      <c r="AS118" s="152" t="s">
        <v>352</v>
      </c>
      <c r="AT118" s="409" t="s">
        <v>347</v>
      </c>
      <c r="AU118" s="229" t="s">
        <v>839</v>
      </c>
      <c r="AZ118" s="341"/>
    </row>
    <row r="119" spans="1:52" x14ac:dyDescent="0.25">
      <c r="AI119" s="442">
        <v>1</v>
      </c>
      <c r="AJ119" s="347">
        <v>3</v>
      </c>
      <c r="AK119" s="348" t="s">
        <v>260</v>
      </c>
      <c r="AS119" s="340" t="s">
        <v>451</v>
      </c>
      <c r="AT119" s="409" t="s">
        <v>450</v>
      </c>
      <c r="AU119" s="229" t="s">
        <v>149</v>
      </c>
      <c r="AZ119" s="341"/>
    </row>
    <row r="120" spans="1:52" x14ac:dyDescent="0.25">
      <c r="AI120" s="442">
        <v>1</v>
      </c>
      <c r="AJ120" s="347">
        <v>2</v>
      </c>
      <c r="AK120" s="348" t="s">
        <v>261</v>
      </c>
      <c r="AS120" s="340" t="s">
        <v>453</v>
      </c>
      <c r="AT120" s="409" t="s">
        <v>452</v>
      </c>
      <c r="AU120" s="229" t="s">
        <v>148</v>
      </c>
      <c r="AZ120" s="341"/>
    </row>
    <row r="121" spans="1:52" x14ac:dyDescent="0.25">
      <c r="AI121" s="442">
        <v>1</v>
      </c>
      <c r="AJ121" s="347">
        <v>4</v>
      </c>
      <c r="AK121" s="348" t="s">
        <v>262</v>
      </c>
      <c r="AS121" s="340" t="s">
        <v>455</v>
      </c>
      <c r="AT121" s="409" t="s">
        <v>454</v>
      </c>
      <c r="AU121" s="229" t="s">
        <v>147</v>
      </c>
      <c r="AZ121" s="341"/>
    </row>
    <row r="122" spans="1:52" ht="15.75" thickBot="1" x14ac:dyDescent="0.3">
      <c r="AI122" s="442">
        <v>1</v>
      </c>
      <c r="AJ122" s="349">
        <v>5</v>
      </c>
      <c r="AK122" s="350" t="s">
        <v>613</v>
      </c>
      <c r="AS122" s="340" t="s">
        <v>459</v>
      </c>
      <c r="AT122" s="409" t="s">
        <v>458</v>
      </c>
      <c r="AU122" s="229" t="s">
        <v>909</v>
      </c>
      <c r="AZ122" s="341"/>
    </row>
    <row r="123" spans="1:52" x14ac:dyDescent="0.25">
      <c r="AI123" s="442">
        <v>1</v>
      </c>
      <c r="AL123" s="415"/>
      <c r="AM123" s="430" t="s">
        <v>731</v>
      </c>
      <c r="AN123" s="415"/>
      <c r="AO123" s="415"/>
      <c r="AS123" s="340" t="s">
        <v>461</v>
      </c>
      <c r="AT123" s="409" t="s">
        <v>460</v>
      </c>
      <c r="AU123" s="229" t="s">
        <v>910</v>
      </c>
      <c r="AZ123" s="341"/>
    </row>
    <row r="124" spans="1:52" x14ac:dyDescent="0.25">
      <c r="AJ124" s="426">
        <v>4</v>
      </c>
      <c r="AK124" s="428" t="s">
        <v>725</v>
      </c>
      <c r="AM124" s="430" t="s">
        <v>919</v>
      </c>
      <c r="AS124" s="340" t="s">
        <v>463</v>
      </c>
      <c r="AT124" s="409" t="s">
        <v>462</v>
      </c>
      <c r="AU124" s="229" t="s">
        <v>911</v>
      </c>
      <c r="AZ124" s="341"/>
    </row>
    <row r="125" spans="1:52" x14ac:dyDescent="0.25">
      <c r="AJ125" s="427">
        <v>5</v>
      </c>
      <c r="AK125" s="429" t="s">
        <v>726</v>
      </c>
      <c r="AM125" s="430" t="s">
        <v>919</v>
      </c>
      <c r="AS125" s="340" t="s">
        <v>351</v>
      </c>
      <c r="AT125" s="409" t="s">
        <v>350</v>
      </c>
      <c r="AU125" s="229" t="s">
        <v>912</v>
      </c>
      <c r="AZ125" s="341"/>
    </row>
    <row r="126" spans="1:52" x14ac:dyDescent="0.25">
      <c r="AJ126" s="426">
        <v>2</v>
      </c>
      <c r="AK126" s="428" t="s">
        <v>727</v>
      </c>
      <c r="AM126" s="430" t="s">
        <v>920</v>
      </c>
      <c r="AS126" s="152" t="s">
        <v>722</v>
      </c>
      <c r="AT126" s="409" t="s">
        <v>721</v>
      </c>
      <c r="AU126" s="229" t="s">
        <v>164</v>
      </c>
      <c r="AZ126" s="341"/>
    </row>
    <row r="127" spans="1:52" x14ac:dyDescent="0.25">
      <c r="AA127" s="229">
        <v>0.42</v>
      </c>
      <c r="AJ127" s="427">
        <v>3</v>
      </c>
      <c r="AK127" s="429" t="s">
        <v>728</v>
      </c>
      <c r="AM127" s="430" t="s">
        <v>920</v>
      </c>
      <c r="AS127" s="152" t="s">
        <v>668</v>
      </c>
      <c r="AT127" s="409" t="s">
        <v>456</v>
      </c>
      <c r="AU127" s="229" t="s">
        <v>162</v>
      </c>
      <c r="AZ127" s="341"/>
    </row>
    <row r="128" spans="1:52" x14ac:dyDescent="0.25">
      <c r="AJ128" s="426">
        <v>7</v>
      </c>
      <c r="AK128" s="428" t="s">
        <v>729</v>
      </c>
      <c r="AM128" s="430" t="s">
        <v>920</v>
      </c>
      <c r="AS128" s="152" t="s">
        <v>723</v>
      </c>
      <c r="AT128" s="409" t="s">
        <v>421</v>
      </c>
      <c r="AU128" s="229" t="s">
        <v>210</v>
      </c>
      <c r="AZ128" s="341"/>
    </row>
    <row r="129" spans="33:52" ht="15.75" thickBot="1" x14ac:dyDescent="0.3">
      <c r="AJ129" s="427">
        <v>6</v>
      </c>
      <c r="AK129" s="429" t="s">
        <v>730</v>
      </c>
      <c r="AM129" s="415"/>
      <c r="AS129" s="152" t="s">
        <v>212</v>
      </c>
      <c r="AT129" s="409" t="s">
        <v>212</v>
      </c>
      <c r="AU129" s="320" t="s">
        <v>212</v>
      </c>
      <c r="AZ129" s="341"/>
    </row>
    <row r="130" spans="33:52" x14ac:dyDescent="0.25">
      <c r="AZ130" s="341"/>
    </row>
    <row r="131" spans="33:52" x14ac:dyDescent="0.25">
      <c r="AZ131" s="341"/>
    </row>
    <row r="132" spans="33:52" x14ac:dyDescent="0.25">
      <c r="AZ132" s="341"/>
    </row>
    <row r="133" spans="33:52" x14ac:dyDescent="0.25">
      <c r="AU133" s="152"/>
      <c r="AZ133" s="341"/>
    </row>
    <row r="134" spans="33:52" x14ac:dyDescent="0.25">
      <c r="AU134" s="152"/>
      <c r="AZ134" s="341"/>
    </row>
    <row r="135" spans="33:52" x14ac:dyDescent="0.25">
      <c r="AK135" s="152"/>
      <c r="AL135" s="152"/>
      <c r="AU135" s="152"/>
      <c r="AZ135" s="341"/>
    </row>
    <row r="136" spans="33:52" x14ac:dyDescent="0.25">
      <c r="AK136" s="343"/>
      <c r="AL136" s="152"/>
      <c r="AU136" s="152"/>
      <c r="AZ136" s="341"/>
    </row>
    <row r="137" spans="33:52" x14ac:dyDescent="0.25">
      <c r="AH137" s="152" t="s">
        <v>327</v>
      </c>
      <c r="AU137" s="152"/>
      <c r="AZ137" s="341"/>
    </row>
    <row r="138" spans="33:52" x14ac:dyDescent="0.25">
      <c r="AG138" s="486" t="s">
        <v>557</v>
      </c>
      <c r="AH138" s="486" t="s">
        <v>856</v>
      </c>
      <c r="AI138" s="486">
        <v>1</v>
      </c>
      <c r="AJ138" s="486" t="s">
        <v>557</v>
      </c>
      <c r="AU138" s="152"/>
      <c r="AZ138" s="341"/>
    </row>
    <row r="139" spans="33:52" x14ac:dyDescent="0.25">
      <c r="AG139" s="486" t="s">
        <v>603</v>
      </c>
      <c r="AH139" s="486" t="s">
        <v>857</v>
      </c>
      <c r="AI139" s="486">
        <v>1</v>
      </c>
      <c r="AJ139" s="486" t="s">
        <v>603</v>
      </c>
      <c r="AU139" s="152"/>
      <c r="AZ139" s="341"/>
    </row>
    <row r="140" spans="33:52" x14ac:dyDescent="0.25">
      <c r="AG140" s="486" t="s">
        <v>590</v>
      </c>
      <c r="AH140" s="486" t="s">
        <v>858</v>
      </c>
      <c r="AI140" s="486">
        <v>1</v>
      </c>
      <c r="AJ140" s="486" t="s">
        <v>590</v>
      </c>
      <c r="AU140" s="286" t="s">
        <v>132</v>
      </c>
    </row>
    <row r="141" spans="33:52" x14ac:dyDescent="0.25">
      <c r="AG141" s="486" t="s">
        <v>588</v>
      </c>
      <c r="AH141" s="486" t="s">
        <v>859</v>
      </c>
      <c r="AI141" s="486">
        <v>1</v>
      </c>
      <c r="AJ141" s="486" t="s">
        <v>588</v>
      </c>
      <c r="AU141" s="286" t="s">
        <v>131</v>
      </c>
    </row>
    <row r="142" spans="33:52" x14ac:dyDescent="0.25">
      <c r="AG142" s="486" t="s">
        <v>818</v>
      </c>
      <c r="AH142" s="486" t="s">
        <v>860</v>
      </c>
      <c r="AI142" s="486">
        <v>0</v>
      </c>
      <c r="AJ142" s="486" t="s">
        <v>818</v>
      </c>
      <c r="AU142" s="286" t="s">
        <v>133</v>
      </c>
    </row>
    <row r="143" spans="33:52" x14ac:dyDescent="0.25">
      <c r="AG143" s="486" t="s">
        <v>819</v>
      </c>
      <c r="AH143" s="486" t="s">
        <v>861</v>
      </c>
      <c r="AI143" s="486">
        <v>0</v>
      </c>
      <c r="AJ143" s="486" t="s">
        <v>819</v>
      </c>
      <c r="AU143" s="286" t="s">
        <v>134</v>
      </c>
    </row>
    <row r="144" spans="33:52" x14ac:dyDescent="0.25">
      <c r="AG144" s="486" t="s">
        <v>820</v>
      </c>
      <c r="AH144" s="486" t="s">
        <v>862</v>
      </c>
      <c r="AI144" s="486">
        <v>0</v>
      </c>
      <c r="AJ144" s="486" t="s">
        <v>820</v>
      </c>
      <c r="AU144" s="286" t="s">
        <v>135</v>
      </c>
    </row>
    <row r="145" spans="33:47" x14ac:dyDescent="0.25">
      <c r="AG145" s="486" t="s">
        <v>627</v>
      </c>
      <c r="AH145" s="486" t="s">
        <v>1038</v>
      </c>
      <c r="AI145" s="486">
        <v>0</v>
      </c>
      <c r="AJ145" s="486" t="s">
        <v>627</v>
      </c>
      <c r="AU145" s="286" t="s">
        <v>136</v>
      </c>
    </row>
    <row r="146" spans="33:47" x14ac:dyDescent="0.25">
      <c r="AG146" s="486" t="s">
        <v>629</v>
      </c>
      <c r="AH146" s="486" t="s">
        <v>1039</v>
      </c>
      <c r="AI146" s="486">
        <v>0</v>
      </c>
      <c r="AJ146" s="486" t="s">
        <v>629</v>
      </c>
      <c r="AK146" s="152"/>
      <c r="AU146" s="229" t="s">
        <v>137</v>
      </c>
    </row>
    <row r="147" spans="33:47" x14ac:dyDescent="0.25">
      <c r="AG147" s="486" t="s">
        <v>616</v>
      </c>
      <c r="AH147" s="486" t="s">
        <v>1022</v>
      </c>
      <c r="AI147" s="486">
        <v>0</v>
      </c>
      <c r="AJ147" s="486" t="s">
        <v>616</v>
      </c>
      <c r="AK147" s="343"/>
      <c r="AL147" s="152"/>
    </row>
    <row r="148" spans="33:47" x14ac:dyDescent="0.25">
      <c r="AG148" s="486" t="s">
        <v>631</v>
      </c>
      <c r="AH148" s="486" t="s">
        <v>1023</v>
      </c>
      <c r="AI148" s="486">
        <v>0</v>
      </c>
      <c r="AJ148" s="486" t="s">
        <v>631</v>
      </c>
      <c r="AK148" s="343"/>
      <c r="AL148" s="152"/>
    </row>
    <row r="149" spans="33:47" x14ac:dyDescent="0.25">
      <c r="AG149" s="486" t="s">
        <v>632</v>
      </c>
      <c r="AH149" s="486" t="s">
        <v>1024</v>
      </c>
      <c r="AI149" s="486">
        <v>0</v>
      </c>
      <c r="AJ149" s="486" t="s">
        <v>632</v>
      </c>
      <c r="AK149" s="343"/>
      <c r="AL149" s="152"/>
    </row>
    <row r="150" spans="33:47" x14ac:dyDescent="0.25">
      <c r="AG150" s="486" t="s">
        <v>634</v>
      </c>
      <c r="AH150" s="486" t="s">
        <v>1025</v>
      </c>
      <c r="AI150" s="486">
        <v>0</v>
      </c>
      <c r="AJ150" s="486" t="s">
        <v>634</v>
      </c>
      <c r="AK150" s="343"/>
      <c r="AL150" s="152"/>
    </row>
    <row r="151" spans="33:47" x14ac:dyDescent="0.25">
      <c r="AG151" s="486" t="s">
        <v>618</v>
      </c>
      <c r="AH151" s="486" t="s">
        <v>1026</v>
      </c>
      <c r="AI151" s="486">
        <v>0</v>
      </c>
      <c r="AJ151" s="486" t="s">
        <v>618</v>
      </c>
      <c r="AK151" s="343"/>
      <c r="AL151" s="152"/>
    </row>
    <row r="152" spans="33:47" x14ac:dyDescent="0.25">
      <c r="AG152" s="486" t="s">
        <v>611</v>
      </c>
      <c r="AH152" s="486" t="s">
        <v>839</v>
      </c>
      <c r="AI152" s="486">
        <v>0</v>
      </c>
      <c r="AJ152" s="486" t="s">
        <v>611</v>
      </c>
      <c r="AK152" s="343"/>
      <c r="AL152" s="152"/>
    </row>
    <row r="153" spans="33:47" x14ac:dyDescent="0.25">
      <c r="AG153" s="486" t="s">
        <v>614</v>
      </c>
      <c r="AH153" s="486" t="s">
        <v>840</v>
      </c>
      <c r="AI153" s="486">
        <v>0</v>
      </c>
      <c r="AJ153" s="486" t="s">
        <v>614</v>
      </c>
      <c r="AU153" s="321"/>
    </row>
    <row r="154" spans="33:47" x14ac:dyDescent="0.25">
      <c r="AG154" s="486" t="s">
        <v>881</v>
      </c>
      <c r="AH154" s="486" t="s">
        <v>874</v>
      </c>
      <c r="AI154" s="486">
        <v>0</v>
      </c>
      <c r="AJ154" s="486" t="s">
        <v>881</v>
      </c>
      <c r="AU154" s="321"/>
    </row>
    <row r="155" spans="33:47" x14ac:dyDescent="0.25">
      <c r="AG155" s="486" t="s">
        <v>882</v>
      </c>
      <c r="AH155" s="486" t="s">
        <v>875</v>
      </c>
      <c r="AI155" s="486">
        <v>0</v>
      </c>
      <c r="AJ155" s="486" t="s">
        <v>882</v>
      </c>
      <c r="AU155" s="321"/>
    </row>
    <row r="156" spans="33:47" x14ac:dyDescent="0.25">
      <c r="AG156" s="486" t="s">
        <v>883</v>
      </c>
      <c r="AH156" s="486" t="s">
        <v>876</v>
      </c>
      <c r="AI156" s="486">
        <v>0</v>
      </c>
      <c r="AJ156" s="486" t="s">
        <v>883</v>
      </c>
      <c r="AU156" s="321"/>
    </row>
    <row r="157" spans="33:47" x14ac:dyDescent="0.25">
      <c r="AG157" s="486" t="s">
        <v>884</v>
      </c>
      <c r="AH157" s="486" t="s">
        <v>870</v>
      </c>
      <c r="AI157" s="486">
        <v>0</v>
      </c>
      <c r="AJ157" s="486" t="s">
        <v>884</v>
      </c>
      <c r="AU157" s="321"/>
    </row>
    <row r="158" spans="33:47" x14ac:dyDescent="0.25">
      <c r="AG158" s="486" t="s">
        <v>885</v>
      </c>
      <c r="AH158" s="486" t="s">
        <v>871</v>
      </c>
      <c r="AI158" s="486">
        <v>0</v>
      </c>
      <c r="AJ158" s="486" t="s">
        <v>885</v>
      </c>
      <c r="AU158" s="321"/>
    </row>
    <row r="159" spans="33:47" x14ac:dyDescent="0.25">
      <c r="AG159" s="486" t="s">
        <v>886</v>
      </c>
      <c r="AH159" s="486" t="s">
        <v>872</v>
      </c>
      <c r="AI159" s="486">
        <v>0</v>
      </c>
      <c r="AJ159" s="486" t="s">
        <v>886</v>
      </c>
      <c r="AU159" s="321"/>
    </row>
    <row r="160" spans="33:47" x14ac:dyDescent="0.25">
      <c r="AG160" s="486" t="s">
        <v>887</v>
      </c>
      <c r="AH160" s="486" t="s">
        <v>873</v>
      </c>
      <c r="AI160" s="486">
        <v>0</v>
      </c>
      <c r="AJ160" s="486" t="s">
        <v>887</v>
      </c>
      <c r="AU160" s="321"/>
    </row>
    <row r="161" spans="33:47" x14ac:dyDescent="0.25">
      <c r="AG161" s="486" t="s">
        <v>638</v>
      </c>
      <c r="AH161" s="486" t="s">
        <v>1016</v>
      </c>
      <c r="AI161" s="486">
        <v>0</v>
      </c>
      <c r="AJ161" s="486" t="s">
        <v>638</v>
      </c>
      <c r="AU161" s="321"/>
    </row>
    <row r="162" spans="33:47" x14ac:dyDescent="0.25">
      <c r="AG162" s="486" t="s">
        <v>640</v>
      </c>
      <c r="AH162" s="486" t="s">
        <v>1017</v>
      </c>
      <c r="AI162" s="486">
        <v>0</v>
      </c>
      <c r="AJ162" s="486" t="s">
        <v>640</v>
      </c>
      <c r="AU162" s="321"/>
    </row>
    <row r="163" spans="33:47" x14ac:dyDescent="0.25">
      <c r="AG163" s="486" t="s">
        <v>642</v>
      </c>
      <c r="AH163" s="486" t="s">
        <v>1018</v>
      </c>
      <c r="AI163" s="486">
        <v>0</v>
      </c>
      <c r="AJ163" s="486" t="s">
        <v>642</v>
      </c>
      <c r="AU163" s="321"/>
    </row>
    <row r="164" spans="33:47" x14ac:dyDescent="0.25">
      <c r="AG164" s="486" t="s">
        <v>624</v>
      </c>
      <c r="AH164" s="486" t="s">
        <v>1019</v>
      </c>
      <c r="AI164" s="486">
        <v>0</v>
      </c>
      <c r="AJ164" s="486" t="s">
        <v>624</v>
      </c>
      <c r="AU164" s="321"/>
    </row>
    <row r="165" spans="33:47" x14ac:dyDescent="0.25">
      <c r="AU165" s="321"/>
    </row>
    <row r="166" spans="33:47" x14ac:dyDescent="0.25">
      <c r="AU166" s="321"/>
    </row>
    <row r="167" spans="33:47" x14ac:dyDescent="0.25">
      <c r="AU167" s="321"/>
    </row>
    <row r="168" spans="33:47" x14ac:dyDescent="0.25">
      <c r="AU168" s="321"/>
    </row>
    <row r="169" spans="33:47" x14ac:dyDescent="0.25">
      <c r="AU169" s="321"/>
    </row>
    <row r="170" spans="33:47" x14ac:dyDescent="0.25">
      <c r="AU170" s="321"/>
    </row>
    <row r="171" spans="33:47" x14ac:dyDescent="0.25">
      <c r="AU171" s="321"/>
    </row>
    <row r="172" spans="33:47" x14ac:dyDescent="0.25">
      <c r="AU172" s="322"/>
    </row>
    <row r="173" spans="33:47" x14ac:dyDescent="0.25">
      <c r="AU173" s="322"/>
    </row>
    <row r="174" spans="33:47" x14ac:dyDescent="0.25">
      <c r="AU174" s="322"/>
    </row>
    <row r="175" spans="33:47" x14ac:dyDescent="0.25">
      <c r="AU175" s="321"/>
    </row>
    <row r="176" spans="33:47" x14ac:dyDescent="0.25">
      <c r="AU176" s="321"/>
    </row>
    <row r="177" spans="47:47" x14ac:dyDescent="0.25">
      <c r="AU177" s="323"/>
    </row>
  </sheetData>
  <sheetProtection sheet="1" selectLockedCells="1"/>
  <autoFilter ref="A2:GS291" xr:uid="{00000000-0009-0000-0000-000005000000}">
    <filterColumn colId="31" showButton="0"/>
    <filterColumn colId="32" showButton="0"/>
    <filterColumn colId="33" showButton="0"/>
  </autoFilter>
  <mergeCells count="14">
    <mergeCell ref="AF2:AI2"/>
    <mergeCell ref="AK13:AN13"/>
    <mergeCell ref="AK18:AN18"/>
    <mergeCell ref="AK22:AN22"/>
    <mergeCell ref="AK89:AN89"/>
    <mergeCell ref="AK77:AN77"/>
    <mergeCell ref="AK81:AN81"/>
    <mergeCell ref="AK85:AN85"/>
    <mergeCell ref="AL23:AN23"/>
    <mergeCell ref="AL24:AN24"/>
    <mergeCell ref="AL25:AN25"/>
    <mergeCell ref="AK5:AN5"/>
    <mergeCell ref="AK9:AN9"/>
    <mergeCell ref="AH24:AI24"/>
  </mergeCells>
  <conditionalFormatting sqref="H113:H65550 H37:H38 H102:H108 H40:H41 H2:H8 H10:H34 H43:H89">
    <cfRule type="cellIs" dxfId="63" priority="125" stopIfTrue="1" operator="equal">
      <formula>"NO"</formula>
    </cfRule>
  </conditionalFormatting>
  <conditionalFormatting sqref="C113:R116 AL113:AO113 AL98:AL105 AL107:AL111 C43:J44 C16:R16 C15:K15 M15:R15 C17:K17 M17:R17 L41:M41 R43:R44 R40:R41 C12:R14 C45:Q47 C37:J38 L37:R38 K40:K44 C40:J41 C48:K49 C32:J34 C31 F31:J31 C102:R107 J90:J100 M40:M41 C24:I24 K24:R24 C50:R77 C18:R23 C25:R26 C27:J30 L27:R34 K27:K38 C78:J89 L78:R89 K78:K100">
    <cfRule type="cellIs" dxfId="62" priority="123" stopIfTrue="1" operator="equal">
      <formula>"NOT AV."</formula>
    </cfRule>
  </conditionalFormatting>
  <conditionalFormatting sqref="C8:Q8 C10:Q10 C11:K11 M11:Q11">
    <cfRule type="cellIs" dxfId="61" priority="122" stopIfTrue="1" operator="equal">
      <formula>"NOT AV."</formula>
    </cfRule>
  </conditionalFormatting>
  <conditionalFormatting sqref="AH154:AH156 AU140:AU1048576 AV31:AV33 AS101:AS103 AU101:AU103 AU108:AU132 AU2:AU97 Z17:AC20 Z104:AC115 Y1:AD2 Y3:AC16 Y93:AC103 AD93:AD115 Y21:AC26 AD3:AD26 Y27:AD54 Y55:AC56 Y62:AC67 Y68:AD92 AD55:AD67 Y116:AD1048576 A78:B82">
    <cfRule type="cellIs" dxfId="60" priority="121" operator="equal">
      <formula>"NO"</formula>
    </cfRule>
  </conditionalFormatting>
  <conditionalFormatting sqref="H9">
    <cfRule type="cellIs" dxfId="59" priority="100" stopIfTrue="1" operator="equal">
      <formula>"NO"</formula>
    </cfRule>
  </conditionalFormatting>
  <conditionalFormatting sqref="C9:I9 M9:Q9 K9">
    <cfRule type="cellIs" dxfId="58" priority="99" stopIfTrue="1" operator="equal">
      <formula>"NOT AV."</formula>
    </cfRule>
  </conditionalFormatting>
  <conditionalFormatting sqref="H42">
    <cfRule type="cellIs" dxfId="57" priority="98" stopIfTrue="1" operator="equal">
      <formula>"NO"</formula>
    </cfRule>
  </conditionalFormatting>
  <conditionalFormatting sqref="D42:J42 R42">
    <cfRule type="cellIs" dxfId="56" priority="97" stopIfTrue="1" operator="equal">
      <formula>"NOT AV."</formula>
    </cfRule>
  </conditionalFormatting>
  <conditionalFormatting sqref="C42">
    <cfRule type="cellIs" dxfId="55" priority="96" stopIfTrue="1" operator="equal">
      <formula>"NOT AV."</formula>
    </cfRule>
  </conditionalFormatting>
  <conditionalFormatting sqref="C35:G36 I35:J36 L35:R36">
    <cfRule type="cellIs" dxfId="54" priority="94" stopIfTrue="1" operator="equal">
      <formula>"NOT AV."</formula>
    </cfRule>
  </conditionalFormatting>
  <conditionalFormatting sqref="H35:H36">
    <cfRule type="cellIs" dxfId="53" priority="93" stopIfTrue="1" operator="equal">
      <formula>"NO"</formula>
    </cfRule>
  </conditionalFormatting>
  <conditionalFormatting sqref="H35:H36">
    <cfRule type="cellIs" dxfId="52" priority="92" stopIfTrue="1" operator="equal">
      <formula>"NOT AV."</formula>
    </cfRule>
  </conditionalFormatting>
  <conditionalFormatting sqref="R45:R47">
    <cfRule type="cellIs" dxfId="51" priority="76" stopIfTrue="1" operator="equal">
      <formula>"NOT AV."</formula>
    </cfRule>
  </conditionalFormatting>
  <conditionalFormatting sqref="Z57:AC59">
    <cfRule type="cellIs" dxfId="50" priority="74" operator="equal">
      <formula>"NO"</formula>
    </cfRule>
  </conditionalFormatting>
  <conditionalFormatting sqref="H39">
    <cfRule type="cellIs" dxfId="49" priority="73" stopIfTrue="1" operator="equal">
      <formula>"NO"</formula>
    </cfRule>
  </conditionalFormatting>
  <conditionalFormatting sqref="C39:R39">
    <cfRule type="cellIs" dxfId="48" priority="72" stopIfTrue="1" operator="equal">
      <formula>"NOT AV."</formula>
    </cfRule>
  </conditionalFormatting>
  <conditionalFormatting sqref="L48:Q49">
    <cfRule type="cellIs" dxfId="47" priority="60" stopIfTrue="1" operator="equal">
      <formula>"NOT AV."</formula>
    </cfRule>
  </conditionalFormatting>
  <conditionalFormatting sqref="R48:R49">
    <cfRule type="cellIs" dxfId="46" priority="59" stopIfTrue="1" operator="equal">
      <formula>"NOT AV."</formula>
    </cfRule>
  </conditionalFormatting>
  <conditionalFormatting sqref="E31">
    <cfRule type="cellIs" dxfId="45" priority="58" stopIfTrue="1" operator="equal">
      <formula>"NOT AV."</formula>
    </cfRule>
  </conditionalFormatting>
  <conditionalFormatting sqref="D31">
    <cfRule type="cellIs" dxfId="44" priority="57" stopIfTrue="1" operator="equal">
      <formula>"NOT AV."</formula>
    </cfRule>
  </conditionalFormatting>
  <conditionalFormatting sqref="L11">
    <cfRule type="cellIs" dxfId="43" priority="56" stopIfTrue="1" operator="equal">
      <formula>"NOT AV."</formula>
    </cfRule>
  </conditionalFormatting>
  <conditionalFormatting sqref="L9">
    <cfRule type="cellIs" dxfId="42" priority="55" stopIfTrue="1" operator="equal">
      <formula>"NOT AV."</formula>
    </cfRule>
  </conditionalFormatting>
  <conditionalFormatting sqref="L42">
    <cfRule type="cellIs" dxfId="41" priority="54" stopIfTrue="1" operator="equal">
      <formula>"NOT AV."</formula>
    </cfRule>
  </conditionalFormatting>
  <conditionalFormatting sqref="L43">
    <cfRule type="cellIs" dxfId="40" priority="53" stopIfTrue="1" operator="equal">
      <formula>"NOT AV."</formula>
    </cfRule>
  </conditionalFormatting>
  <conditionalFormatting sqref="M42:Q42">
    <cfRule type="cellIs" dxfId="39" priority="52" stopIfTrue="1" operator="equal">
      <formula>"NOT AV."</formula>
    </cfRule>
  </conditionalFormatting>
  <conditionalFormatting sqref="C90:C101">
    <cfRule type="cellIs" dxfId="38" priority="45" stopIfTrue="1" operator="equal">
      <formula>"NOT AV."</formula>
    </cfRule>
  </conditionalFormatting>
  <conditionalFormatting sqref="F90:F101">
    <cfRule type="cellIs" dxfId="37" priority="49" stopIfTrue="1" operator="equal">
      <formula>"NOT AV."</formula>
    </cfRule>
  </conditionalFormatting>
  <conditionalFormatting sqref="I90:I101">
    <cfRule type="cellIs" dxfId="36" priority="48" stopIfTrue="1" operator="equal">
      <formula>"NOT AV."</formula>
    </cfRule>
  </conditionalFormatting>
  <conditionalFormatting sqref="H90:H101">
    <cfRule type="cellIs" dxfId="35" priority="47" stopIfTrue="1" operator="equal">
      <formula>"NO"</formula>
    </cfRule>
  </conditionalFormatting>
  <conditionalFormatting sqref="H90:H101">
    <cfRule type="cellIs" dxfId="34" priority="46" stopIfTrue="1" operator="equal">
      <formula>"NOT AV."</formula>
    </cfRule>
  </conditionalFormatting>
  <conditionalFormatting sqref="D90:D101">
    <cfRule type="cellIs" dxfId="33" priority="44" stopIfTrue="1" operator="equal">
      <formula>"NOT AV."</formula>
    </cfRule>
  </conditionalFormatting>
  <conditionalFormatting sqref="E90:E101">
    <cfRule type="cellIs" dxfId="32" priority="43" stopIfTrue="1" operator="equal">
      <formula>"NOT AV."</formula>
    </cfRule>
  </conditionalFormatting>
  <conditionalFormatting sqref="G90:G101">
    <cfRule type="cellIs" dxfId="31" priority="42" stopIfTrue="1" operator="equal">
      <formula>"NOT AV."</formula>
    </cfRule>
  </conditionalFormatting>
  <conditionalFormatting sqref="J101">
    <cfRule type="cellIs" dxfId="30" priority="41" stopIfTrue="1" operator="equal">
      <formula>"NOT AV."</formula>
    </cfRule>
  </conditionalFormatting>
  <conditionalFormatting sqref="L90:L97 L99:L101">
    <cfRule type="cellIs" dxfId="29" priority="40" stopIfTrue="1" operator="equal">
      <formula>"NOT AV."</formula>
    </cfRule>
  </conditionalFormatting>
  <conditionalFormatting sqref="R90:R101">
    <cfRule type="cellIs" dxfId="28" priority="39" stopIfTrue="1" operator="equal">
      <formula>"NOT AV."</formula>
    </cfRule>
  </conditionalFormatting>
  <conditionalFormatting sqref="M90:Q101">
    <cfRule type="cellIs" dxfId="27" priority="38" stopIfTrue="1" operator="equal">
      <formula>"NOT AV."</formula>
    </cfRule>
  </conditionalFormatting>
  <conditionalFormatting sqref="Z61:AC61">
    <cfRule type="cellIs" dxfId="26" priority="37" operator="equal">
      <formula>"NO"</formula>
    </cfRule>
  </conditionalFormatting>
  <conditionalFormatting sqref="Z60:AC60">
    <cfRule type="cellIs" dxfId="25" priority="36" operator="equal">
      <formula>"NO"</formula>
    </cfRule>
  </conditionalFormatting>
  <conditionalFormatting sqref="L15">
    <cfRule type="cellIs" dxfId="24" priority="35" stopIfTrue="1" operator="equal">
      <formula>"NOT AV."</formula>
    </cfRule>
  </conditionalFormatting>
  <conditionalFormatting sqref="L17">
    <cfRule type="cellIs" dxfId="23" priority="34" stopIfTrue="1" operator="equal">
      <formula>"NOT AV."</formula>
    </cfRule>
  </conditionalFormatting>
  <conditionalFormatting sqref="L40">
    <cfRule type="cellIs" dxfId="22" priority="33" stopIfTrue="1" operator="equal">
      <formula>"NOT AV."</formula>
    </cfRule>
  </conditionalFormatting>
  <conditionalFormatting sqref="L44">
    <cfRule type="cellIs" dxfId="21" priority="32" stopIfTrue="1" operator="equal">
      <formula>"NOT AV."</formula>
    </cfRule>
  </conditionalFormatting>
  <conditionalFormatting sqref="L98">
    <cfRule type="cellIs" dxfId="20" priority="30" stopIfTrue="1" operator="equal">
      <formula>"NOT AV."</formula>
    </cfRule>
  </conditionalFormatting>
  <conditionalFormatting sqref="N40:Q41">
    <cfRule type="cellIs" dxfId="19" priority="29" stopIfTrue="1" operator="equal">
      <formula>"NOT AV."</formula>
    </cfRule>
  </conditionalFormatting>
  <conditionalFormatting sqref="M43:Q44">
    <cfRule type="cellIs" dxfId="18" priority="28" stopIfTrue="1" operator="equal">
      <formula>"NOT AV."</formula>
    </cfRule>
  </conditionalFormatting>
  <conditionalFormatting sqref="J9">
    <cfRule type="cellIs" dxfId="17" priority="27" stopIfTrue="1" operator="equal">
      <formula>"NOT AV."</formula>
    </cfRule>
  </conditionalFormatting>
  <conditionalFormatting sqref="J24">
    <cfRule type="cellIs" dxfId="16" priority="26" stopIfTrue="1" operator="equal">
      <formula>"NOT AV."</formula>
    </cfRule>
  </conditionalFormatting>
  <conditionalFormatting sqref="K101">
    <cfRule type="cellIs" dxfId="15" priority="18" stopIfTrue="1" operator="equal">
      <formula>"NOT AV."</formula>
    </cfRule>
  </conditionalFormatting>
  <conditionalFormatting sqref="H3:H7">
    <cfRule type="cellIs" dxfId="14" priority="15" stopIfTrue="1" operator="equal">
      <formula>"NO"</formula>
    </cfRule>
  </conditionalFormatting>
  <conditionalFormatting sqref="J3:K3 H3:H7 K4">
    <cfRule type="cellIs" dxfId="13" priority="14" stopIfTrue="1" operator="equal">
      <formula>"NOT AV."</formula>
    </cfRule>
  </conditionalFormatting>
  <conditionalFormatting sqref="R3:R7">
    <cfRule type="cellIs" dxfId="12" priority="13" stopIfTrue="1" operator="equal">
      <formula>"NOT AV."</formula>
    </cfRule>
  </conditionalFormatting>
  <conditionalFormatting sqref="L3:Q7">
    <cfRule type="cellIs" dxfId="11" priority="12" stopIfTrue="1" operator="equal">
      <formula>"NOT AV."</formula>
    </cfRule>
  </conditionalFormatting>
  <conditionalFormatting sqref="K5">
    <cfRule type="cellIs" dxfId="10" priority="11" stopIfTrue="1" operator="equal">
      <formula>"NOT AV."</formula>
    </cfRule>
  </conditionalFormatting>
  <conditionalFormatting sqref="I3:I7">
    <cfRule type="cellIs" dxfId="9" priority="10" stopIfTrue="1" operator="equal">
      <formula>"NOT AV."</formula>
    </cfRule>
  </conditionalFormatting>
  <conditionalFormatting sqref="G3:G7">
    <cfRule type="cellIs" dxfId="8" priority="9" stopIfTrue="1" operator="equal">
      <formula>"NOT AV."</formula>
    </cfRule>
  </conditionalFormatting>
  <conditionalFormatting sqref="F3:F7">
    <cfRule type="cellIs" dxfId="7" priority="8" stopIfTrue="1" operator="equal">
      <formula>"NOT AV."</formula>
    </cfRule>
  </conditionalFormatting>
  <conditionalFormatting sqref="E3:E7">
    <cfRule type="cellIs" dxfId="6" priority="7" stopIfTrue="1" operator="equal">
      <formula>"NOT AV."</formula>
    </cfRule>
  </conditionalFormatting>
  <conditionalFormatting sqref="D3:D7">
    <cfRule type="cellIs" dxfId="5" priority="6" stopIfTrue="1" operator="equal">
      <formula>"NOT AV."</formula>
    </cfRule>
  </conditionalFormatting>
  <conditionalFormatting sqref="C3:C7">
    <cfRule type="cellIs" dxfId="4" priority="5" stopIfTrue="1" operator="equal">
      <formula>"NOT AV."</formula>
    </cfRule>
  </conditionalFormatting>
  <conditionalFormatting sqref="J4:J5">
    <cfRule type="cellIs" dxfId="3" priority="4" stopIfTrue="1" operator="equal">
      <formula>"NOT AV."</formula>
    </cfRule>
  </conditionalFormatting>
  <conditionalFormatting sqref="J6">
    <cfRule type="cellIs" dxfId="2" priority="3" stopIfTrue="1" operator="equal">
      <formula>"NOT AV."</formula>
    </cfRule>
  </conditionalFormatting>
  <conditionalFormatting sqref="J7">
    <cfRule type="cellIs" dxfId="1" priority="2" stopIfTrue="1" operator="equal">
      <formula>"NOT AV."</formula>
    </cfRule>
  </conditionalFormatting>
  <conditionalFormatting sqref="K6:K7">
    <cfRule type="cellIs" dxfId="0" priority="1" stopIfTrue="1" operator="equal">
      <formula>"NOT AV."</formula>
    </cfRule>
  </conditionalFormatting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FF0000"/>
  </sheetPr>
  <dimension ref="A1:T62"/>
  <sheetViews>
    <sheetView workbookViewId="0">
      <selection activeCell="C2" sqref="C2"/>
    </sheetView>
  </sheetViews>
  <sheetFormatPr defaultColWidth="8.85546875" defaultRowHeight="15" x14ac:dyDescent="0.25"/>
  <cols>
    <col min="1" max="1" width="9.42578125" customWidth="1"/>
    <col min="2" max="2" width="17.7109375" customWidth="1"/>
    <col min="3" max="3" width="9.7109375" customWidth="1"/>
    <col min="4" max="4" width="11.42578125" customWidth="1"/>
    <col min="5" max="5" width="16.42578125" customWidth="1"/>
    <col min="6" max="6" width="10.140625" customWidth="1"/>
    <col min="7" max="7" width="4.140625" customWidth="1"/>
    <col min="8" max="8" width="12.85546875" customWidth="1"/>
    <col min="9" max="9" width="8.28515625" customWidth="1"/>
    <col min="10" max="10" width="9.42578125" customWidth="1"/>
    <col min="11" max="11" width="5.7109375" customWidth="1"/>
    <col min="12" max="12" width="9.7109375" customWidth="1"/>
    <col min="13" max="16" width="13.42578125" customWidth="1"/>
    <col min="17" max="20" width="12.42578125" customWidth="1"/>
  </cols>
  <sheetData>
    <row r="1" spans="1:20" x14ac:dyDescent="0.25">
      <c r="A1" s="425" t="s">
        <v>1</v>
      </c>
      <c r="B1" s="416" t="s">
        <v>330</v>
      </c>
      <c r="C1" s="416" t="s">
        <v>12</v>
      </c>
      <c r="D1" s="416" t="s">
        <v>331</v>
      </c>
      <c r="E1" s="416" t="s">
        <v>332</v>
      </c>
      <c r="F1" s="416" t="s">
        <v>333</v>
      </c>
      <c r="G1" s="416" t="s">
        <v>124</v>
      </c>
      <c r="H1" s="416" t="s">
        <v>334</v>
      </c>
      <c r="I1" s="416" t="s">
        <v>335</v>
      </c>
      <c r="J1" s="416" t="s">
        <v>105</v>
      </c>
      <c r="K1" s="416" t="s">
        <v>5</v>
      </c>
      <c r="L1" s="416" t="s">
        <v>658</v>
      </c>
      <c r="M1" s="416" t="s">
        <v>336</v>
      </c>
      <c r="N1" s="416" t="s">
        <v>337</v>
      </c>
      <c r="O1" s="416" t="s">
        <v>338</v>
      </c>
      <c r="P1" s="416" t="s">
        <v>339</v>
      </c>
      <c r="Q1" s="416" t="s">
        <v>340</v>
      </c>
      <c r="R1" s="416" t="s">
        <v>341</v>
      </c>
      <c r="S1" s="416" t="s">
        <v>342</v>
      </c>
      <c r="T1" s="417" t="s">
        <v>343</v>
      </c>
    </row>
    <row r="2" spans="1:20" x14ac:dyDescent="0.25">
      <c r="A2" s="422" t="str">
        <f>IF(B2="","",IF(C2="","",IF('Doors order'!$G$7="","",RIGHT(CONCATENATE("000000",'Doors order'!$G$7), 6))))</f>
        <v/>
      </c>
      <c r="B2" t="str">
        <f>IF(C2="","",IF('Doors order'!$A$7="","",'Doors order'!$A$7))</f>
        <v/>
      </c>
      <c r="C2" s="64" t="str">
        <f>IF(D2="","",IF('Doors order'!$K$7="","",'Doors order'!$K$7))</f>
        <v/>
      </c>
      <c r="D2" t="str">
        <f>IF(E2="","",IF('Doors order'!F10="Finger Pull",IF(E2=BDD!$AK$122,BDD!$AK$127,BDD!$AK$126),IF(E2=BDD!$AK$122,BDD!$AK$116,BDD!$AK$117)))</f>
        <v/>
      </c>
      <c r="E2" t="str">
        <f>IF('Doors order'!E10="","",IF(VLOOKUP('Doors order'!E10,BDD!B:AJ,35,0)=1,BDD!$AK$118,IF(VLOOKUP('Doors order'!E10,BDD!B:AJ,35,0)=2,BDD!$AK$120,IF(VLOOKUP('Doors order'!E10,BDD!B:AJ,35,0)=3,BDD!$AK$119,IF(VLOOKUP('Doors order'!E10,BDD!B:AJ,35,0)=4,BDD!$AK$121,IF(VLOOKUP('Doors order'!E10,BDD!B:AJ,35,0)=5,BDD!$AK$122))))))</f>
        <v/>
      </c>
      <c r="F2" t="str">
        <f>IF('Doors order'!E10="","",IF(VLOOKUP('Doors order'!E10,BDD!B:AQ,42,0)="","",VLOOKUP('Doors order'!E10,BDD!B:AQ,42,0)))</f>
        <v/>
      </c>
      <c r="G2" t="str">
        <f>IF('Doors order'!B10="","",'Doors order'!B10)</f>
        <v/>
      </c>
      <c r="H2" t="str">
        <f>IF('Doors order'!C10="","",IF('Doors order'!$N$7="mm",'Doors order'!C10/25.4,'Doors order'!C10))</f>
        <v/>
      </c>
      <c r="I2" t="str">
        <f>IF('Doors order'!D10="","",IF('Doors order'!$N$7="mm",'Doors order'!D10/25.4,'Doors order'!D10))</f>
        <v/>
      </c>
      <c r="J2" t="str">
        <f>IF('Doors order'!E10="","",18)</f>
        <v/>
      </c>
      <c r="K2" t="str">
        <f>IF('Doors order'!F10="","",IF('Doors order'!F10="no grain",0,IF('Doors order'!F10="vertical",1,IF('Doors order'!F10="horizontal",2,IF('Doors order'!F10="ver.sequenced",1,IF('Doors order'!F10="hor.sequenced",2,0))))))</f>
        <v/>
      </c>
      <c r="L2" t="str">
        <f>IF('Doors order'!F10="","",IF('Doors order'!F10="no grain",0,IF('Doors order'!F10="vertical",0,IF('Doors order'!F10="horizontal",0,IF('Doors order'!F10="ver.sequenced",1,IF('Doors order'!F10="hor.sequenced",2,0))))))</f>
        <v/>
      </c>
      <c r="M2" t="str">
        <f>IF('Doors order'!G10="","",IF(VLOOKUP('Doors order'!G10,BDD!$Y:$AT,22,0)="","",VLOOKUP('Doors order'!G10,BDD!$Y:$AT,22,0)))</f>
        <v/>
      </c>
      <c r="N2" t="str">
        <f>IF('Doors order'!H10="","",IF(VLOOKUP('Doors order'!H10,BDD!$Y:$AT,22,0)="","",VLOOKUP('Doors order'!H10,BDD!$Y:$AT,22,0)))</f>
        <v/>
      </c>
      <c r="O2" t="str">
        <f>IF('Doors order'!I10="","",IF(VLOOKUP('Doors order'!I10,BDD!$Y:$AT,22,0)="","",VLOOKUP('Doors order'!I10,BDD!$Y:$AT,22,0)))</f>
        <v/>
      </c>
      <c r="P2" t="str">
        <f>IF('Doors order'!J10="","",IF(VLOOKUP('Doors order'!J10,BDD!$Y:$AT,22,0)="","",VLOOKUP('Doors order'!J10,BDD!$Y:$AT,22,0)))</f>
        <v/>
      </c>
      <c r="Q2" t="str">
        <f>IF('Doors order'!G10="","",IF(VLOOKUP('Doors order'!G10,BDD!$Y:$AE,7,0)=1,"TRUE","FALSE"))</f>
        <v/>
      </c>
      <c r="R2" t="str">
        <f>IF('Doors order'!H10="","",IF(VLOOKUP('Doors order'!H10,BDD!$Y:$AE,7,0)=1,"TRUE","FALSE"))</f>
        <v/>
      </c>
      <c r="S2" t="str">
        <f>IF('Doors order'!I10="","",IF(VLOOKUP('Doors order'!I10,BDD!$Y:$AE,7,0)=1,"TRUE","FALSE"))</f>
        <v/>
      </c>
      <c r="T2" s="418" t="str">
        <f>IF('Doors order'!J10="","",IF(VLOOKUP('Doors order'!J10,BDD!$Y:$AE,7,0)=1,"TRUE","FALSE"))</f>
        <v/>
      </c>
    </row>
    <row r="3" spans="1:20" x14ac:dyDescent="0.25">
      <c r="A3" s="422" t="str">
        <f>IF(B3="","",IF(C3="","",IF('Doors order'!$G$7="","",RIGHT(CONCATENATE("000000",'Doors order'!$G$7), 6))))</f>
        <v/>
      </c>
      <c r="B3" t="str">
        <f>IF(C3="","",IF('Doors order'!$A$7="","",'Doors order'!$A$7))</f>
        <v/>
      </c>
      <c r="C3" s="64" t="str">
        <f>IF(D3="","",IF('Doors order'!$K$7="","",'Doors order'!$K$7))</f>
        <v/>
      </c>
      <c r="D3" t="str">
        <f>IF(E3="","",IF('Doors order'!F11="Finger Pull",IF(E3=BDD!$AK$122,BDD!$AK$127,BDD!$AK$126),IF(E3=BDD!$AK$122,BDD!$AK$116,BDD!$AK$117)))</f>
        <v/>
      </c>
      <c r="E3" t="str">
        <f>IF('Doors order'!E11="","",IF(VLOOKUP('Doors order'!E11,BDD!B:AJ,35,0)=1,BDD!$AK$118,IF(VLOOKUP('Doors order'!E11,BDD!B:AJ,35,0)=2,BDD!$AK$120,IF(VLOOKUP('Doors order'!E11,BDD!B:AJ,35,0)=3,BDD!$AK$119,IF(VLOOKUP('Doors order'!E11,BDD!B:AJ,35,0)=4,BDD!$AK$121,IF(VLOOKUP('Doors order'!E11,BDD!B:AJ,35,0)=5,BDD!$AK$122))))))</f>
        <v/>
      </c>
      <c r="F3" t="str">
        <f>IF('Doors order'!E11="","",IF(VLOOKUP('Doors order'!E11,BDD!B:AQ,42,0)="","",VLOOKUP('Doors order'!E11,BDD!B:AQ,42,0)))</f>
        <v/>
      </c>
      <c r="G3" t="str">
        <f>IF('Doors order'!B11="","",'Doors order'!B11)</f>
        <v/>
      </c>
      <c r="H3" t="str">
        <f>IF('Doors order'!C11="","",IF('Doors order'!$N$7="mm",'Doors order'!C11/25.4,'Doors order'!C11))</f>
        <v/>
      </c>
      <c r="I3" t="str">
        <f>IF('Doors order'!D11="","",IF('Doors order'!$N$7="mm",'Doors order'!D11/25.4,'Doors order'!D11))</f>
        <v/>
      </c>
      <c r="J3" t="str">
        <f>IF('Doors order'!E11="","",18)</f>
        <v/>
      </c>
      <c r="K3" t="str">
        <f>IF('Doors order'!F11="","",IF('Doors order'!F11="no grain",0,IF('Doors order'!F11="vertical",1,IF('Doors order'!F11="horizontal",2,IF('Doors order'!F11="ver.sequenced",1,IF('Doors order'!F11="hor.sequenced",2,0))))))</f>
        <v/>
      </c>
      <c r="L3" t="str">
        <f>IF('Doors order'!F11="","",IF('Doors order'!F11="no grain",0,IF('Doors order'!F11="vertical",0,IF('Doors order'!F11="horizontal",0,IF('Doors order'!F11="ver.sequenced",1,IF('Doors order'!F11="hor.sequenced",2,0))))))</f>
        <v/>
      </c>
      <c r="M3" t="str">
        <f>IF('Doors order'!G11="","",IF(VLOOKUP('Doors order'!G11,BDD!$Y:$AT,22,0)="","",VLOOKUP('Doors order'!G11,BDD!$Y:$AT,22,0)))</f>
        <v/>
      </c>
      <c r="N3" t="str">
        <f>IF('Doors order'!H11="","",IF(VLOOKUP('Doors order'!H11,BDD!$Y:$AT,22,0)="","",VLOOKUP('Doors order'!H11,BDD!$Y:$AT,22,0)))</f>
        <v/>
      </c>
      <c r="O3" t="str">
        <f>IF('Doors order'!I11="","",IF(VLOOKUP('Doors order'!I11,BDD!$Y:$AT,22,0)="","",VLOOKUP('Doors order'!I11,BDD!$Y:$AT,22,0)))</f>
        <v/>
      </c>
      <c r="P3" t="str">
        <f>IF('Doors order'!J11="","",IF(VLOOKUP('Doors order'!J11,BDD!$Y:$AT,22,0)="","",VLOOKUP('Doors order'!J11,BDD!$Y:$AT,22,0)))</f>
        <v/>
      </c>
      <c r="Q3" t="str">
        <f>IF('Doors order'!G11="","",IF(VLOOKUP('Doors order'!G11,BDD!$Y:$AE,7,0)=1,"TRUE","FALSE"))</f>
        <v/>
      </c>
      <c r="R3" t="str">
        <f>IF('Doors order'!H11="","",IF(VLOOKUP('Doors order'!H11,BDD!$Y:$AE,7,0)=1,"TRUE","FALSE"))</f>
        <v/>
      </c>
      <c r="S3" t="str">
        <f>IF('Doors order'!I11="","",IF(VLOOKUP('Doors order'!I11,BDD!$Y:$AE,7,0)=1,"TRUE","FALSE"))</f>
        <v/>
      </c>
      <c r="T3" s="418" t="str">
        <f>IF('Doors order'!J11="","",IF(VLOOKUP('Doors order'!J11,BDD!$Y:$AE,7,0)=1,"TRUE","FALSE"))</f>
        <v/>
      </c>
    </row>
    <row r="4" spans="1:20" x14ac:dyDescent="0.25">
      <c r="A4" s="422" t="str">
        <f>IF(B4="","",IF(C4="","",IF('Doors order'!$G$7="","",RIGHT(CONCATENATE("000000",'Doors order'!$G$7), 6))))</f>
        <v/>
      </c>
      <c r="B4" t="str">
        <f>IF(C4="","",IF('Doors order'!$A$7="","",'Doors order'!$A$7))</f>
        <v/>
      </c>
      <c r="C4" s="64" t="str">
        <f>IF(D4="","",IF('Doors order'!$K$7="","",'Doors order'!$K$7))</f>
        <v/>
      </c>
      <c r="D4" t="str">
        <f>IF(E4="","",IF('Doors order'!F12="Finger Pull",IF(E4=BDD!$AK$122,BDD!$AK$127,BDD!$AK$126),IF(E4=BDD!$AK$122,BDD!$AK$116,BDD!$AK$117)))</f>
        <v/>
      </c>
      <c r="E4" t="str">
        <f>IF('Doors order'!E12="","",IF(VLOOKUP('Doors order'!E12,BDD!B:AJ,35,0)=1,BDD!$AK$118,IF(VLOOKUP('Doors order'!E12,BDD!B:AJ,35,0)=2,BDD!$AK$120,IF(VLOOKUP('Doors order'!E12,BDD!B:AJ,35,0)=3,BDD!$AK$119,IF(VLOOKUP('Doors order'!E12,BDD!B:AJ,35,0)=4,BDD!$AK$121,IF(VLOOKUP('Doors order'!E12,BDD!B:AJ,35,0)=5,BDD!$AK$122))))))</f>
        <v/>
      </c>
      <c r="F4" t="str">
        <f>IF('Doors order'!E12="","",IF(VLOOKUP('Doors order'!E12,BDD!B:AQ,42,0)="","",VLOOKUP('Doors order'!E12,BDD!B:AQ,42,0)))</f>
        <v/>
      </c>
      <c r="G4" t="str">
        <f>IF('Doors order'!B12="","",'Doors order'!B12)</f>
        <v/>
      </c>
      <c r="H4" t="str">
        <f>IF('Doors order'!C12="","",IF('Doors order'!$N$7="mm",'Doors order'!C12/25.4,'Doors order'!C12))</f>
        <v/>
      </c>
      <c r="I4" t="str">
        <f>IF('Doors order'!D12="","",IF('Doors order'!$N$7="mm",'Doors order'!D12/25.4,'Doors order'!D12))</f>
        <v/>
      </c>
      <c r="J4" t="str">
        <f>IF('Doors order'!E12="","",18)</f>
        <v/>
      </c>
      <c r="K4" t="str">
        <f>IF('Doors order'!F12="","",IF('Doors order'!F12="no grain",0,IF('Doors order'!F12="vertical",1,IF('Doors order'!F12="horizontal",2,IF('Doors order'!F12="ver.sequenced",1,IF('Doors order'!F12="hor.sequenced",2,0))))))</f>
        <v/>
      </c>
      <c r="L4" t="str">
        <f>IF('Doors order'!F12="","",IF('Doors order'!F12="no grain",0,IF('Doors order'!F12="vertical",0,IF('Doors order'!F12="horizontal",0,IF('Doors order'!F12="ver.sequenced",1,IF('Doors order'!F12="hor.sequenced",2,0))))))</f>
        <v/>
      </c>
      <c r="M4" t="str">
        <f>IF('Doors order'!G12="","",IF(VLOOKUP('Doors order'!G12,BDD!$Y:$AT,22,0)="","",VLOOKUP('Doors order'!G12,BDD!$Y:$AT,22,0)))</f>
        <v/>
      </c>
      <c r="N4" t="str">
        <f>IF('Doors order'!H12="","",IF(VLOOKUP('Doors order'!H12,BDD!$Y:$AT,22,0)="","",VLOOKUP('Doors order'!H12,BDD!$Y:$AT,22,0)))</f>
        <v/>
      </c>
      <c r="O4" t="str">
        <f>IF('Doors order'!I12="","",IF(VLOOKUP('Doors order'!I12,BDD!$Y:$AT,22,0)="","",VLOOKUP('Doors order'!I12,BDD!$Y:$AT,22,0)))</f>
        <v/>
      </c>
      <c r="P4" t="str">
        <f>IF('Doors order'!J12="","",IF(VLOOKUP('Doors order'!J12,BDD!$Y:$AT,22,0)="","",VLOOKUP('Doors order'!J12,BDD!$Y:$AT,22,0)))</f>
        <v/>
      </c>
      <c r="Q4" t="str">
        <f>IF('Doors order'!G12="","",IF(VLOOKUP('Doors order'!G12,BDD!$Y:$AE,7,0)=1,"TRUE","FALSE"))</f>
        <v/>
      </c>
      <c r="R4" t="str">
        <f>IF('Doors order'!H12="","",IF(VLOOKUP('Doors order'!H12,BDD!$Y:$AE,7,0)=1,"TRUE","FALSE"))</f>
        <v/>
      </c>
      <c r="S4" t="str">
        <f>IF('Doors order'!I12="","",IF(VLOOKUP('Doors order'!I12,BDD!$Y:$AE,7,0)=1,"TRUE","FALSE"))</f>
        <v/>
      </c>
      <c r="T4" s="418" t="str">
        <f>IF('Doors order'!J12="","",IF(VLOOKUP('Doors order'!J12,BDD!$Y:$AE,7,0)=1,"TRUE","FALSE"))</f>
        <v/>
      </c>
    </row>
    <row r="5" spans="1:20" x14ac:dyDescent="0.25">
      <c r="A5" s="422" t="str">
        <f>IF(B5="","",IF(C5="","",IF('Doors order'!$G$7="","",RIGHT(CONCATENATE("000000",'Doors order'!$G$7), 6))))</f>
        <v/>
      </c>
      <c r="B5" t="str">
        <f>IF(C5="","",IF('Doors order'!$A$7="","",'Doors order'!$A$7))</f>
        <v/>
      </c>
      <c r="C5" s="64" t="str">
        <f>IF(D5="","",IF('Doors order'!$K$7="","",'Doors order'!$K$7))</f>
        <v/>
      </c>
      <c r="D5" t="str">
        <f>IF(E5="","",IF('Doors order'!F13="Finger Pull",IF(E5=BDD!$AK$122,BDD!$AK$127,BDD!$AK$126),IF(E5=BDD!$AK$122,BDD!$AK$116,BDD!$AK$117)))</f>
        <v/>
      </c>
      <c r="E5" t="str">
        <f>IF('Doors order'!E13="","",IF(VLOOKUP('Doors order'!E13,BDD!B:AJ,35,0)=1,BDD!$AK$118,IF(VLOOKUP('Doors order'!E13,BDD!B:AJ,35,0)=2,BDD!$AK$120,IF(VLOOKUP('Doors order'!E13,BDD!B:AJ,35,0)=3,BDD!$AK$119,IF(VLOOKUP('Doors order'!E13,BDD!B:AJ,35,0)=4,BDD!$AK$121,IF(VLOOKUP('Doors order'!E13,BDD!B:AJ,35,0)=5,BDD!$AK$122))))))</f>
        <v/>
      </c>
      <c r="F5" t="str">
        <f>IF('Doors order'!E13="","",IF(VLOOKUP('Doors order'!E13,BDD!B:AQ,42,0)="","",VLOOKUP('Doors order'!E13,BDD!B:AQ,42,0)))</f>
        <v/>
      </c>
      <c r="G5" t="str">
        <f>IF('Doors order'!B13="","",'Doors order'!B13)</f>
        <v/>
      </c>
      <c r="H5" t="str">
        <f>IF('Doors order'!C13="","",IF('Doors order'!$N$7="mm",'Doors order'!C13/25.4,'Doors order'!C13))</f>
        <v/>
      </c>
      <c r="I5" t="str">
        <f>IF('Doors order'!D13="","",IF('Doors order'!$N$7="mm",'Doors order'!D13/25.4,'Doors order'!D13))</f>
        <v/>
      </c>
      <c r="J5" t="str">
        <f>IF('Doors order'!E13="","",18)</f>
        <v/>
      </c>
      <c r="K5" t="str">
        <f>IF('Doors order'!F13="","",IF('Doors order'!F13="no grain",0,IF('Doors order'!F13="vertical",1,IF('Doors order'!F13="horizontal",2,IF('Doors order'!F13="ver.sequenced",1,IF('Doors order'!F13="hor.sequenced",2,0))))))</f>
        <v/>
      </c>
      <c r="L5" t="str">
        <f>IF('Doors order'!F13="","",IF('Doors order'!F13="no grain",0,IF('Doors order'!F13="vertical",0,IF('Doors order'!F13="horizontal",0,IF('Doors order'!F13="ver.sequenced",1,IF('Doors order'!F13="hor.sequenced",2,0))))))</f>
        <v/>
      </c>
      <c r="M5" t="str">
        <f>IF('Doors order'!G13="","",IF(VLOOKUP('Doors order'!G13,BDD!$Y:$AT,22,0)="","",VLOOKUP('Doors order'!G13,BDD!$Y:$AT,22,0)))</f>
        <v/>
      </c>
      <c r="N5" t="str">
        <f>IF('Doors order'!H13="","",IF(VLOOKUP('Doors order'!H13,BDD!$Y:$AT,22,0)="","",VLOOKUP('Doors order'!H13,BDD!$Y:$AT,22,0)))</f>
        <v/>
      </c>
      <c r="O5" t="str">
        <f>IF('Doors order'!I13="","",IF(VLOOKUP('Doors order'!I13,BDD!$Y:$AT,22,0)="","",VLOOKUP('Doors order'!I13,BDD!$Y:$AT,22,0)))</f>
        <v/>
      </c>
      <c r="P5" t="str">
        <f>IF('Doors order'!J13="","",IF(VLOOKUP('Doors order'!J13,BDD!$Y:$AT,22,0)="","",VLOOKUP('Doors order'!J13,BDD!$Y:$AT,22,0)))</f>
        <v/>
      </c>
      <c r="Q5" t="str">
        <f>IF('Doors order'!G13="","",IF(VLOOKUP('Doors order'!G13,BDD!$Y:$AE,7,0)=1,"TRUE","FALSE"))</f>
        <v/>
      </c>
      <c r="R5" t="str">
        <f>IF('Doors order'!H13="","",IF(VLOOKUP('Doors order'!H13,BDD!$Y:$AE,7,0)=1,"TRUE","FALSE"))</f>
        <v/>
      </c>
      <c r="S5" t="str">
        <f>IF('Doors order'!I13="","",IF(VLOOKUP('Doors order'!I13,BDD!$Y:$AE,7,0)=1,"TRUE","FALSE"))</f>
        <v/>
      </c>
      <c r="T5" s="418" t="str">
        <f>IF('Doors order'!J13="","",IF(VLOOKUP('Doors order'!J13,BDD!$Y:$AE,7,0)=1,"TRUE","FALSE"))</f>
        <v/>
      </c>
    </row>
    <row r="6" spans="1:20" x14ac:dyDescent="0.25">
      <c r="A6" s="422" t="str">
        <f>IF(B6="","",IF(C6="","",IF('Doors order'!$G$7="","",RIGHT(CONCATENATE("000000",'Doors order'!$G$7), 6))))</f>
        <v/>
      </c>
      <c r="B6" t="str">
        <f>IF(C6="","",IF('Doors order'!$A$7="","",'Doors order'!$A$7))</f>
        <v/>
      </c>
      <c r="C6" s="64" t="str">
        <f>IF(D6="","",IF('Doors order'!$K$7="","",'Doors order'!$K$7))</f>
        <v/>
      </c>
      <c r="D6" t="str">
        <f>IF(E6="","",IF('Doors order'!F14="Finger Pull",IF(E6=BDD!$AK$122,BDD!$AK$127,BDD!$AK$126),IF(E6=BDD!$AK$122,BDD!$AK$116,BDD!$AK$117)))</f>
        <v/>
      </c>
      <c r="E6" t="str">
        <f>IF('Doors order'!E14="","",IF(VLOOKUP('Doors order'!E14,BDD!B:AJ,35,0)=1,BDD!$AK$118,IF(VLOOKUP('Doors order'!E14,BDD!B:AJ,35,0)=2,BDD!$AK$120,IF(VLOOKUP('Doors order'!E14,BDD!B:AJ,35,0)=3,BDD!$AK$119,IF(VLOOKUP('Doors order'!E14,BDD!B:AJ,35,0)=4,BDD!$AK$121,IF(VLOOKUP('Doors order'!E14,BDD!B:AJ,35,0)=5,BDD!$AK$122))))))</f>
        <v/>
      </c>
      <c r="F6" t="str">
        <f>IF('Doors order'!E14="","",IF(VLOOKUP('Doors order'!E14,BDD!B:AQ,42,0)="","",VLOOKUP('Doors order'!E14,BDD!B:AQ,42,0)))</f>
        <v/>
      </c>
      <c r="G6" t="str">
        <f>IF('Doors order'!B14="","",'Doors order'!B14)</f>
        <v/>
      </c>
      <c r="H6" t="str">
        <f>IF('Doors order'!C14="","",IF('Doors order'!$N$7="mm",'Doors order'!C14/25.4,'Doors order'!C14))</f>
        <v/>
      </c>
      <c r="I6" t="str">
        <f>IF('Doors order'!D14="","",IF('Doors order'!$N$7="mm",'Doors order'!D14/25.4,'Doors order'!D14))</f>
        <v/>
      </c>
      <c r="J6" t="str">
        <f>IF('Doors order'!E14="","",18)</f>
        <v/>
      </c>
      <c r="K6" t="str">
        <f>IF('Doors order'!F14="","",IF('Doors order'!F14="no grain",0,IF('Doors order'!F14="vertical",1,IF('Doors order'!F14="horizontal",2,IF('Doors order'!F14="ver.sequenced",1,IF('Doors order'!F14="hor.sequenced",2,0))))))</f>
        <v/>
      </c>
      <c r="L6" t="str">
        <f>IF('Doors order'!F14="","",IF('Doors order'!F14="no grain",0,IF('Doors order'!F14="vertical",0,IF('Doors order'!F14="horizontal",0,IF('Doors order'!F14="ver.sequenced",1,IF('Doors order'!F14="hor.sequenced",2,0))))))</f>
        <v/>
      </c>
      <c r="M6" t="str">
        <f>IF('Doors order'!G14="","",IF(VLOOKUP('Doors order'!G14,BDD!$Y:$AT,22,0)="","",VLOOKUP('Doors order'!G14,BDD!$Y:$AT,22,0)))</f>
        <v/>
      </c>
      <c r="N6" t="str">
        <f>IF('Doors order'!H14="","",IF(VLOOKUP('Doors order'!H14,BDD!$Y:$AT,22,0)="","",VLOOKUP('Doors order'!H14,BDD!$Y:$AT,22,0)))</f>
        <v/>
      </c>
      <c r="O6" t="str">
        <f>IF('Doors order'!I14="","",IF(VLOOKUP('Doors order'!I14,BDD!$Y:$AT,22,0)="","",VLOOKUP('Doors order'!I14,BDD!$Y:$AT,22,0)))</f>
        <v/>
      </c>
      <c r="P6" t="str">
        <f>IF('Doors order'!J14="","",IF(VLOOKUP('Doors order'!J14,BDD!$Y:$AT,22,0)="","",VLOOKUP('Doors order'!J14,BDD!$Y:$AT,22,0)))</f>
        <v/>
      </c>
      <c r="Q6" t="str">
        <f>IF('Doors order'!G14="","",IF(VLOOKUP('Doors order'!G14,BDD!$Y:$AE,7,0)=1,"TRUE","FALSE"))</f>
        <v/>
      </c>
      <c r="R6" t="str">
        <f>IF('Doors order'!H14="","",IF(VLOOKUP('Doors order'!H14,BDD!$Y:$AE,7,0)=1,"TRUE","FALSE"))</f>
        <v/>
      </c>
      <c r="S6" t="str">
        <f>IF('Doors order'!I14="","",IF(VLOOKUP('Doors order'!I14,BDD!$Y:$AE,7,0)=1,"TRUE","FALSE"))</f>
        <v/>
      </c>
      <c r="T6" s="418" t="str">
        <f>IF('Doors order'!J14="","",IF(VLOOKUP('Doors order'!J14,BDD!$Y:$AE,7,0)=1,"TRUE","FALSE"))</f>
        <v/>
      </c>
    </row>
    <row r="7" spans="1:20" x14ac:dyDescent="0.25">
      <c r="A7" s="422" t="str">
        <f>IF(B7="","",IF(C7="","",IF('Doors order'!$G$7="","",RIGHT(CONCATENATE("000000",'Doors order'!$G$7), 6))))</f>
        <v/>
      </c>
      <c r="B7" t="str">
        <f>IF(C7="","",IF('Doors order'!$A$7="","",'Doors order'!$A$7))</f>
        <v/>
      </c>
      <c r="C7" s="64" t="str">
        <f>IF(D7="","",IF('Doors order'!$K$7="","",'Doors order'!$K$7))</f>
        <v/>
      </c>
      <c r="D7" t="str">
        <f>IF(E7="","",IF('Doors order'!F15="Finger Pull",IF(E7=BDD!$AK$122,BDD!$AK$127,BDD!$AK$126),IF(E7=BDD!$AK$122,BDD!$AK$116,BDD!$AK$117)))</f>
        <v/>
      </c>
      <c r="E7" t="str">
        <f>IF('Doors order'!E15="","",IF(VLOOKUP('Doors order'!E15,BDD!B:AJ,35,0)=1,BDD!$AK$118,IF(VLOOKUP('Doors order'!E15,BDD!B:AJ,35,0)=2,BDD!$AK$120,IF(VLOOKUP('Doors order'!E15,BDD!B:AJ,35,0)=3,BDD!$AK$119,IF(VLOOKUP('Doors order'!E15,BDD!B:AJ,35,0)=4,BDD!$AK$121,IF(VLOOKUP('Doors order'!E15,BDD!B:AJ,35,0)=5,BDD!$AK$122))))))</f>
        <v/>
      </c>
      <c r="F7" t="str">
        <f>IF('Doors order'!E15="","",IF(VLOOKUP('Doors order'!E15,BDD!B:AQ,42,0)="","",VLOOKUP('Doors order'!E15,BDD!B:AQ,42,0)))</f>
        <v/>
      </c>
      <c r="G7" t="str">
        <f>IF('Doors order'!B15="","",'Doors order'!B15)</f>
        <v/>
      </c>
      <c r="H7" t="str">
        <f>IF('Doors order'!C15="","",IF('Doors order'!$N$7="mm",'Doors order'!C15/25.4,'Doors order'!C15))</f>
        <v/>
      </c>
      <c r="I7" t="str">
        <f>IF('Doors order'!D15="","",IF('Doors order'!$N$7="mm",'Doors order'!D15/25.4,'Doors order'!D15))</f>
        <v/>
      </c>
      <c r="J7" t="str">
        <f>IF('Doors order'!E15="","",18)</f>
        <v/>
      </c>
      <c r="K7" t="str">
        <f>IF('Doors order'!F15="","",IF('Doors order'!F15="no grain",0,IF('Doors order'!F15="vertical",1,IF('Doors order'!F15="horizontal",2,IF('Doors order'!F15="ver.sequenced",1,IF('Doors order'!F15="hor.sequenced",2,0))))))</f>
        <v/>
      </c>
      <c r="L7" t="str">
        <f>IF('Doors order'!F15="","",IF('Doors order'!F15="no grain",0,IF('Doors order'!F15="vertical",0,IF('Doors order'!F15="horizontal",0,IF('Doors order'!F15="ver.sequenced",1,IF('Doors order'!F15="hor.sequenced",2,0))))))</f>
        <v/>
      </c>
      <c r="M7" t="str">
        <f>IF('Doors order'!G15="","",IF(VLOOKUP('Doors order'!G15,BDD!$Y:$AT,22,0)="","",VLOOKUP('Doors order'!G15,BDD!$Y:$AT,22,0)))</f>
        <v/>
      </c>
      <c r="N7" t="str">
        <f>IF('Doors order'!H15="","",IF(VLOOKUP('Doors order'!H15,BDD!$Y:$AT,22,0)="","",VLOOKUP('Doors order'!H15,BDD!$Y:$AT,22,0)))</f>
        <v/>
      </c>
      <c r="O7" t="str">
        <f>IF('Doors order'!I15="","",IF(VLOOKUP('Doors order'!I15,BDD!$Y:$AT,22,0)="","",VLOOKUP('Doors order'!I15,BDD!$Y:$AT,22,0)))</f>
        <v/>
      </c>
      <c r="P7" t="str">
        <f>IF('Doors order'!J15="","",IF(VLOOKUP('Doors order'!J15,BDD!$Y:$AT,22,0)="","",VLOOKUP('Doors order'!J15,BDD!$Y:$AT,22,0)))</f>
        <v/>
      </c>
      <c r="Q7" t="str">
        <f>IF('Doors order'!G15="","",IF(VLOOKUP('Doors order'!G15,BDD!$Y:$AE,7,0)=1,"TRUE","FALSE"))</f>
        <v/>
      </c>
      <c r="R7" t="str">
        <f>IF('Doors order'!H15="","",IF(VLOOKUP('Doors order'!H15,BDD!$Y:$AE,7,0)=1,"TRUE","FALSE"))</f>
        <v/>
      </c>
      <c r="S7" t="str">
        <f>IF('Doors order'!I15="","",IF(VLOOKUP('Doors order'!I15,BDD!$Y:$AE,7,0)=1,"TRUE","FALSE"))</f>
        <v/>
      </c>
      <c r="T7" s="418" t="str">
        <f>IF('Doors order'!J15="","",IF(VLOOKUP('Doors order'!J15,BDD!$Y:$AE,7,0)=1,"TRUE","FALSE"))</f>
        <v/>
      </c>
    </row>
    <row r="8" spans="1:20" x14ac:dyDescent="0.25">
      <c r="A8" s="422" t="str">
        <f>IF(B8="","",IF(C8="","",IF('Doors order'!$G$7="","",RIGHT(CONCATENATE("000000",'Doors order'!$G$7), 6))))</f>
        <v/>
      </c>
      <c r="B8" t="str">
        <f>IF(C8="","",IF('Doors order'!$A$7="","",'Doors order'!$A$7))</f>
        <v/>
      </c>
      <c r="C8" s="64" t="str">
        <f>IF(D8="","",IF('Doors order'!$K$7="","",'Doors order'!$K$7))</f>
        <v/>
      </c>
      <c r="D8" t="str">
        <f>IF(E8="","",IF('Doors order'!F16="Finger Pull",IF(E8=BDD!$AK$122,BDD!$AK$127,BDD!$AK$126),IF(E8=BDD!$AK$122,BDD!$AK$116,BDD!$AK$117)))</f>
        <v/>
      </c>
      <c r="E8" t="str">
        <f>IF('Doors order'!E16="","",IF(VLOOKUP('Doors order'!E16,BDD!B:AJ,35,0)=1,BDD!$AK$118,IF(VLOOKUP('Doors order'!E16,BDD!B:AJ,35,0)=2,BDD!$AK$120,IF(VLOOKUP('Doors order'!E16,BDD!B:AJ,35,0)=3,BDD!$AK$119,IF(VLOOKUP('Doors order'!E16,BDD!B:AJ,35,0)=4,BDD!$AK$121,IF(VLOOKUP('Doors order'!E16,BDD!B:AJ,35,0)=5,BDD!$AK$122))))))</f>
        <v/>
      </c>
      <c r="F8" t="str">
        <f>IF('Doors order'!E16="","",IF(VLOOKUP('Doors order'!E16,BDD!B:AQ,42,0)="","",VLOOKUP('Doors order'!E16,BDD!B:AQ,42,0)))</f>
        <v/>
      </c>
      <c r="G8" t="str">
        <f>IF('Doors order'!B16="","",'Doors order'!B16)</f>
        <v/>
      </c>
      <c r="H8" t="str">
        <f>IF('Doors order'!C16="","",IF('Doors order'!$N$7="mm",'Doors order'!C16/25.4,'Doors order'!C16))</f>
        <v/>
      </c>
      <c r="I8" t="str">
        <f>IF('Doors order'!D16="","",IF('Doors order'!$N$7="mm",'Doors order'!D16/25.4,'Doors order'!D16))</f>
        <v/>
      </c>
      <c r="J8" t="str">
        <f>IF('Doors order'!E16="","",18)</f>
        <v/>
      </c>
      <c r="K8" t="str">
        <f>IF('Doors order'!F16="","",IF('Doors order'!F16="no grain",0,IF('Doors order'!F16="vertical",1,IF('Doors order'!F16="horizontal",2,IF('Doors order'!F16="ver.sequenced",1,IF('Doors order'!F16="hor.sequenced",2,0))))))</f>
        <v/>
      </c>
      <c r="L8" t="str">
        <f>IF('Doors order'!F16="","",IF('Doors order'!F16="no grain",0,IF('Doors order'!F16="vertical",0,IF('Doors order'!F16="horizontal",0,IF('Doors order'!F16="ver.sequenced",1,IF('Doors order'!F16="hor.sequenced",2,0))))))</f>
        <v/>
      </c>
      <c r="M8" t="str">
        <f>IF('Doors order'!G16="","",IF(VLOOKUP('Doors order'!G16,BDD!$Y:$AT,22,0)="","",VLOOKUP('Doors order'!G16,BDD!$Y:$AT,22,0)))</f>
        <v/>
      </c>
      <c r="N8" t="str">
        <f>IF('Doors order'!H16="","",IF(VLOOKUP('Doors order'!H16,BDD!$Y:$AT,22,0)="","",VLOOKUP('Doors order'!H16,BDD!$Y:$AT,22,0)))</f>
        <v/>
      </c>
      <c r="O8" t="str">
        <f>IF('Doors order'!I16="","",IF(VLOOKUP('Doors order'!I16,BDD!$Y:$AT,22,0)="","",VLOOKUP('Doors order'!I16,BDD!$Y:$AT,22,0)))</f>
        <v/>
      </c>
      <c r="P8" t="str">
        <f>IF('Doors order'!J16="","",IF(VLOOKUP('Doors order'!J16,BDD!$Y:$AT,22,0)="","",VLOOKUP('Doors order'!J16,BDD!$Y:$AT,22,0)))</f>
        <v/>
      </c>
      <c r="Q8" t="str">
        <f>IF('Doors order'!G16="","",IF(VLOOKUP('Doors order'!G16,BDD!$Y:$AE,7,0)=1,"TRUE","FALSE"))</f>
        <v/>
      </c>
      <c r="R8" t="str">
        <f>IF('Doors order'!H16="","",IF(VLOOKUP('Doors order'!H16,BDD!$Y:$AE,7,0)=1,"TRUE","FALSE"))</f>
        <v/>
      </c>
      <c r="S8" t="str">
        <f>IF('Doors order'!I16="","",IF(VLOOKUP('Doors order'!I16,BDD!$Y:$AE,7,0)=1,"TRUE","FALSE"))</f>
        <v/>
      </c>
      <c r="T8" s="418" t="str">
        <f>IF('Doors order'!J16="","",IF(VLOOKUP('Doors order'!J16,BDD!$Y:$AE,7,0)=1,"TRUE","FALSE"))</f>
        <v/>
      </c>
    </row>
    <row r="9" spans="1:20" x14ac:dyDescent="0.25">
      <c r="A9" s="422" t="str">
        <f>IF(B9="","",IF(C9="","",IF('Doors order'!$G$7="","",RIGHT(CONCATENATE("000000",'Doors order'!$G$7), 6))))</f>
        <v/>
      </c>
      <c r="B9" t="str">
        <f>IF(C9="","",IF('Doors order'!$A$7="","",'Doors order'!$A$7))</f>
        <v/>
      </c>
      <c r="C9" s="64" t="str">
        <f>IF(D9="","",IF('Doors order'!$K$7="","",'Doors order'!$K$7))</f>
        <v/>
      </c>
      <c r="D9" t="str">
        <f>IF(E9="","",IF('Doors order'!F17="Finger Pull",IF(E9=BDD!$AK$122,BDD!$AK$127,BDD!$AK$126),IF(E9=BDD!$AK$122,BDD!$AK$116,BDD!$AK$117)))</f>
        <v/>
      </c>
      <c r="E9" t="str">
        <f>IF('Doors order'!E17="","",IF(VLOOKUP('Doors order'!E17,BDD!B:AJ,35,0)=1,BDD!$AK$118,IF(VLOOKUP('Doors order'!E17,BDD!B:AJ,35,0)=2,BDD!$AK$120,IF(VLOOKUP('Doors order'!E17,BDD!B:AJ,35,0)=3,BDD!$AK$119,IF(VLOOKUP('Doors order'!E17,BDD!B:AJ,35,0)=4,BDD!$AK$121,IF(VLOOKUP('Doors order'!E17,BDD!B:AJ,35,0)=5,BDD!$AK$122))))))</f>
        <v/>
      </c>
      <c r="F9" t="str">
        <f>IF('Doors order'!E17="","",IF(VLOOKUP('Doors order'!E17,BDD!B:AQ,42,0)="","",VLOOKUP('Doors order'!E17,BDD!B:AQ,42,0)))</f>
        <v/>
      </c>
      <c r="G9" t="str">
        <f>IF('Doors order'!B17="","",'Doors order'!B17)</f>
        <v/>
      </c>
      <c r="H9" t="str">
        <f>IF('Doors order'!C17="","",IF('Doors order'!$N$7="mm",'Doors order'!C17/25.4,'Doors order'!C17))</f>
        <v/>
      </c>
      <c r="I9" t="str">
        <f>IF('Doors order'!D17="","",IF('Doors order'!$N$7="mm",'Doors order'!D17/25.4,'Doors order'!D17))</f>
        <v/>
      </c>
      <c r="J9" t="str">
        <f>IF('Doors order'!E17="","",18)</f>
        <v/>
      </c>
      <c r="K9" t="str">
        <f>IF('Doors order'!F17="","",IF('Doors order'!F17="no grain",0,IF('Doors order'!F17="vertical",1,IF('Doors order'!F17="horizontal",2,IF('Doors order'!F17="ver.sequenced",1,IF('Doors order'!F17="hor.sequenced",2,0))))))</f>
        <v/>
      </c>
      <c r="L9" t="str">
        <f>IF('Doors order'!F17="","",IF('Doors order'!F17="no grain",0,IF('Doors order'!F17="vertical",0,IF('Doors order'!F17="horizontal",0,IF('Doors order'!F17="ver.sequenced",1,IF('Doors order'!F17="hor.sequenced",2,0))))))</f>
        <v/>
      </c>
      <c r="M9" t="str">
        <f>IF('Doors order'!G17="","",IF(VLOOKUP('Doors order'!G17,BDD!$Y:$AT,22,0)="","",VLOOKUP('Doors order'!G17,BDD!$Y:$AT,22,0)))</f>
        <v/>
      </c>
      <c r="N9" t="str">
        <f>IF('Doors order'!H17="","",IF(VLOOKUP('Doors order'!H17,BDD!$Y:$AT,22,0)="","",VLOOKUP('Doors order'!H17,BDD!$Y:$AT,22,0)))</f>
        <v/>
      </c>
      <c r="O9" t="str">
        <f>IF('Doors order'!I17="","",IF(VLOOKUP('Doors order'!I17,BDD!$Y:$AT,22,0)="","",VLOOKUP('Doors order'!I17,BDD!$Y:$AT,22,0)))</f>
        <v/>
      </c>
      <c r="P9" t="str">
        <f>IF('Doors order'!J17="","",IF(VLOOKUP('Doors order'!J17,BDD!$Y:$AT,22,0)="","",VLOOKUP('Doors order'!J17,BDD!$Y:$AT,22,0)))</f>
        <v/>
      </c>
      <c r="Q9" t="str">
        <f>IF('Doors order'!G17="","",IF(VLOOKUP('Doors order'!G17,BDD!$Y:$AE,7,0)=1,"TRUE","FALSE"))</f>
        <v/>
      </c>
      <c r="R9" t="str">
        <f>IF('Doors order'!H17="","",IF(VLOOKUP('Doors order'!H17,BDD!$Y:$AE,7,0)=1,"TRUE","FALSE"))</f>
        <v/>
      </c>
      <c r="S9" t="str">
        <f>IF('Doors order'!I17="","",IF(VLOOKUP('Doors order'!I17,BDD!$Y:$AE,7,0)=1,"TRUE","FALSE"))</f>
        <v/>
      </c>
      <c r="T9" s="418" t="str">
        <f>IF('Doors order'!J17="","",IF(VLOOKUP('Doors order'!J17,BDD!$Y:$AE,7,0)=1,"TRUE","FALSE"))</f>
        <v/>
      </c>
    </row>
    <row r="10" spans="1:20" x14ac:dyDescent="0.25">
      <c r="A10" s="422" t="str">
        <f>IF(B10="","",IF(C10="","",IF('Doors order'!$G$7="","",RIGHT(CONCATENATE("000000",'Doors order'!$G$7), 6))))</f>
        <v/>
      </c>
      <c r="B10" t="str">
        <f>IF(C10="","",IF('Doors order'!$A$7="","",'Doors order'!$A$7))</f>
        <v/>
      </c>
      <c r="C10" s="64" t="str">
        <f>IF(D10="","",IF('Doors order'!$K$7="","",'Doors order'!$K$7))</f>
        <v/>
      </c>
      <c r="D10" t="str">
        <f>IF(E10="","",IF('Doors order'!F18="Finger Pull",IF(E10=BDD!$AK$122,BDD!$AK$127,BDD!$AK$126),IF(E10=BDD!$AK$122,BDD!$AK$116,BDD!$AK$117)))</f>
        <v/>
      </c>
      <c r="E10" t="str">
        <f>IF('Doors order'!E18="","",IF(VLOOKUP('Doors order'!E18,BDD!B:AJ,35,0)=1,BDD!$AK$118,IF(VLOOKUP('Doors order'!E18,BDD!B:AJ,35,0)=2,BDD!$AK$120,IF(VLOOKUP('Doors order'!E18,BDD!B:AJ,35,0)=3,BDD!$AK$119,IF(VLOOKUP('Doors order'!E18,BDD!B:AJ,35,0)=4,BDD!$AK$121,IF(VLOOKUP('Doors order'!E18,BDD!B:AJ,35,0)=5,BDD!$AK$122))))))</f>
        <v/>
      </c>
      <c r="F10" t="str">
        <f>IF('Doors order'!E18="","",IF(VLOOKUP('Doors order'!E18,BDD!B:AQ,42,0)="","",VLOOKUP('Doors order'!E18,BDD!B:AQ,42,0)))</f>
        <v/>
      </c>
      <c r="G10" t="str">
        <f>IF('Doors order'!B18="","",'Doors order'!B18)</f>
        <v/>
      </c>
      <c r="H10" t="str">
        <f>IF('Doors order'!C18="","",IF('Doors order'!$N$7="mm",'Doors order'!C18/25.4,'Doors order'!C18))</f>
        <v/>
      </c>
      <c r="I10" t="str">
        <f>IF('Doors order'!D18="","",IF('Doors order'!$N$7="mm",'Doors order'!D18/25.4,'Doors order'!D18))</f>
        <v/>
      </c>
      <c r="J10" t="str">
        <f>IF('Doors order'!E18="","",18)</f>
        <v/>
      </c>
      <c r="K10" t="str">
        <f>IF('Doors order'!F18="","",IF('Doors order'!F18="no grain",0,IF('Doors order'!F18="vertical",1,IF('Doors order'!F18="horizontal",2,IF('Doors order'!F18="ver.sequenced",1,IF('Doors order'!F18="hor.sequenced",2,0))))))</f>
        <v/>
      </c>
      <c r="L10" t="str">
        <f>IF('Doors order'!F18="","",IF('Doors order'!F18="no grain",0,IF('Doors order'!F18="vertical",0,IF('Doors order'!F18="horizontal",0,IF('Doors order'!F18="ver.sequenced",1,IF('Doors order'!F18="hor.sequenced",2,0))))))</f>
        <v/>
      </c>
      <c r="M10" t="str">
        <f>IF('Doors order'!G18="","",IF(VLOOKUP('Doors order'!G18,BDD!$Y:$AT,22,0)="","",VLOOKUP('Doors order'!G18,BDD!$Y:$AT,22,0)))</f>
        <v/>
      </c>
      <c r="N10" t="str">
        <f>IF('Doors order'!H18="","",IF(VLOOKUP('Doors order'!H18,BDD!$Y:$AT,22,0)="","",VLOOKUP('Doors order'!H18,BDD!$Y:$AT,22,0)))</f>
        <v/>
      </c>
      <c r="O10" t="str">
        <f>IF('Doors order'!I18="","",IF(VLOOKUP('Doors order'!I18,BDD!$Y:$AT,22,0)="","",VLOOKUP('Doors order'!I18,BDD!$Y:$AT,22,0)))</f>
        <v/>
      </c>
      <c r="P10" t="str">
        <f>IF('Doors order'!J18="","",IF(VLOOKUP('Doors order'!J18,BDD!$Y:$AT,22,0)="","",VLOOKUP('Doors order'!J18,BDD!$Y:$AT,22,0)))</f>
        <v/>
      </c>
      <c r="Q10" t="str">
        <f>IF('Doors order'!G18="","",IF(VLOOKUP('Doors order'!G18,BDD!$Y:$AE,7,0)=1,"TRUE","FALSE"))</f>
        <v/>
      </c>
      <c r="R10" t="str">
        <f>IF('Doors order'!H18="","",IF(VLOOKUP('Doors order'!H18,BDD!$Y:$AE,7,0)=1,"TRUE","FALSE"))</f>
        <v/>
      </c>
      <c r="S10" t="str">
        <f>IF('Doors order'!I18="","",IF(VLOOKUP('Doors order'!I18,BDD!$Y:$AE,7,0)=1,"TRUE","FALSE"))</f>
        <v/>
      </c>
      <c r="T10" s="418" t="str">
        <f>IF('Doors order'!J18="","",IF(VLOOKUP('Doors order'!J18,BDD!$Y:$AE,7,0)=1,"TRUE","FALSE"))</f>
        <v/>
      </c>
    </row>
    <row r="11" spans="1:20" x14ac:dyDescent="0.25">
      <c r="A11" s="422" t="str">
        <f>IF(B11="","",IF(C11="","",IF('Doors order'!$G$7="","",RIGHT(CONCATENATE("000000",'Doors order'!$G$7), 6))))</f>
        <v/>
      </c>
      <c r="B11" t="str">
        <f>IF(C11="","",IF('Doors order'!$A$7="","",'Doors order'!$A$7))</f>
        <v/>
      </c>
      <c r="C11" s="64" t="str">
        <f>IF(D11="","",IF('Doors order'!$K$7="","",'Doors order'!$K$7))</f>
        <v/>
      </c>
      <c r="D11" t="str">
        <f>IF(E11="","",IF('Doors order'!F19="Finger Pull",IF(E11=BDD!$AK$122,BDD!$AK$127,BDD!$AK$126),IF(E11=BDD!$AK$122,BDD!$AK$116,BDD!$AK$117)))</f>
        <v/>
      </c>
      <c r="E11" t="str">
        <f>IF('Doors order'!E19="","",IF(VLOOKUP('Doors order'!E19,BDD!B:AJ,35,0)=1,BDD!$AK$118,IF(VLOOKUP('Doors order'!E19,BDD!B:AJ,35,0)=2,BDD!$AK$120,IF(VLOOKUP('Doors order'!E19,BDD!B:AJ,35,0)=3,BDD!$AK$119,IF(VLOOKUP('Doors order'!E19,BDD!B:AJ,35,0)=4,BDD!$AK$121,IF(VLOOKUP('Doors order'!E19,BDD!B:AJ,35,0)=5,BDD!$AK$122))))))</f>
        <v/>
      </c>
      <c r="F11" t="str">
        <f>IF('Doors order'!E19="","",IF(VLOOKUP('Doors order'!E19,BDD!B:AQ,42,0)="","",VLOOKUP('Doors order'!E19,BDD!B:AQ,42,0)))</f>
        <v/>
      </c>
      <c r="G11" t="str">
        <f>IF('Doors order'!B19="","",'Doors order'!B19)</f>
        <v/>
      </c>
      <c r="H11" t="str">
        <f>IF('Doors order'!C19="","",IF('Doors order'!$N$7="mm",'Doors order'!C19/25.4,'Doors order'!C19))</f>
        <v/>
      </c>
      <c r="I11" t="str">
        <f>IF('Doors order'!D19="","",IF('Doors order'!$N$7="mm",'Doors order'!D19/25.4,'Doors order'!D19))</f>
        <v/>
      </c>
      <c r="J11" t="str">
        <f>IF('Doors order'!E19="","",18)</f>
        <v/>
      </c>
      <c r="K11" t="str">
        <f>IF('Doors order'!F19="","",IF('Doors order'!F19="no grain",0,IF('Doors order'!F19="vertical",1,IF('Doors order'!F19="horizontal",2,IF('Doors order'!F19="ver.sequenced",1,IF('Doors order'!F19="hor.sequenced",2,0))))))</f>
        <v/>
      </c>
      <c r="L11" t="str">
        <f>IF('Doors order'!F19="","",IF('Doors order'!F19="no grain",0,IF('Doors order'!F19="vertical",0,IF('Doors order'!F19="horizontal",0,IF('Doors order'!F19="ver.sequenced",1,IF('Doors order'!F19="hor.sequenced",2,0))))))</f>
        <v/>
      </c>
      <c r="M11" t="str">
        <f>IF('Doors order'!G19="","",IF(VLOOKUP('Doors order'!G19,BDD!$Y:$AT,22,0)="","",VLOOKUP('Doors order'!G19,BDD!$Y:$AT,22,0)))</f>
        <v/>
      </c>
      <c r="N11" t="str">
        <f>IF('Doors order'!H19="","",IF(VLOOKUP('Doors order'!H19,BDD!$Y:$AT,22,0)="","",VLOOKUP('Doors order'!H19,BDD!$Y:$AT,22,0)))</f>
        <v/>
      </c>
      <c r="O11" t="str">
        <f>IF('Doors order'!I19="","",IF(VLOOKUP('Doors order'!I19,BDD!$Y:$AT,22,0)="","",VLOOKUP('Doors order'!I19,BDD!$Y:$AT,22,0)))</f>
        <v/>
      </c>
      <c r="P11" t="str">
        <f>IF('Doors order'!J19="","",IF(VLOOKUP('Doors order'!J19,BDD!$Y:$AT,22,0)="","",VLOOKUP('Doors order'!J19,BDD!$Y:$AT,22,0)))</f>
        <v/>
      </c>
      <c r="Q11" t="str">
        <f>IF('Doors order'!G19="","",IF(VLOOKUP('Doors order'!G19,BDD!$Y:$AE,7,0)=1,"TRUE","FALSE"))</f>
        <v/>
      </c>
      <c r="R11" t="str">
        <f>IF('Doors order'!H19="","",IF(VLOOKUP('Doors order'!H19,BDD!$Y:$AE,7,0)=1,"TRUE","FALSE"))</f>
        <v/>
      </c>
      <c r="S11" t="str">
        <f>IF('Doors order'!I19="","",IF(VLOOKUP('Doors order'!I19,BDD!$Y:$AE,7,0)=1,"TRUE","FALSE"))</f>
        <v/>
      </c>
      <c r="T11" s="418" t="str">
        <f>IF('Doors order'!J19="","",IF(VLOOKUP('Doors order'!J19,BDD!$Y:$AE,7,0)=1,"TRUE","FALSE"))</f>
        <v/>
      </c>
    </row>
    <row r="12" spans="1:20" x14ac:dyDescent="0.25">
      <c r="A12" s="422" t="str">
        <f>IF(B12="","",IF(C12="","",IF('Doors order'!$G$7="","",RIGHT(CONCATENATE("000000",'Doors order'!$G$7), 6))))</f>
        <v/>
      </c>
      <c r="B12" t="str">
        <f>IF(C12="","",IF('Doors order'!$A$7="","",'Doors order'!$A$7))</f>
        <v/>
      </c>
      <c r="C12" s="64" t="str">
        <f>IF(D12="","",IF('Doors order'!$K$7="","",'Doors order'!$K$7))</f>
        <v/>
      </c>
      <c r="D12" t="str">
        <f>IF(E12="","",IF('Doors order'!F20="Finger Pull",IF(E12=BDD!$AK$122,BDD!$AK$127,BDD!$AK$126),IF(E12=BDD!$AK$122,BDD!$AK$116,BDD!$AK$117)))</f>
        <v/>
      </c>
      <c r="E12" t="str">
        <f>IF('Doors order'!E20="","",IF(VLOOKUP('Doors order'!E20,BDD!B:AJ,35,0)=1,BDD!$AK$118,IF(VLOOKUP('Doors order'!E20,BDD!B:AJ,35,0)=2,BDD!$AK$120,IF(VLOOKUP('Doors order'!E20,BDD!B:AJ,35,0)=3,BDD!$AK$119,IF(VLOOKUP('Doors order'!E20,BDD!B:AJ,35,0)=4,BDD!$AK$121,IF(VLOOKUP('Doors order'!E20,BDD!B:AJ,35,0)=5,BDD!$AK$122))))))</f>
        <v/>
      </c>
      <c r="F12" t="str">
        <f>IF('Doors order'!E20="","",IF(VLOOKUP('Doors order'!E20,BDD!B:AQ,42,0)="","",VLOOKUP('Doors order'!E20,BDD!B:AQ,42,0)))</f>
        <v/>
      </c>
      <c r="G12" t="str">
        <f>IF('Doors order'!B20="","",'Doors order'!B20)</f>
        <v/>
      </c>
      <c r="H12" t="str">
        <f>IF('Doors order'!C20="","",IF('Doors order'!$N$7="mm",'Doors order'!C20/25.4,'Doors order'!C20))</f>
        <v/>
      </c>
      <c r="I12" t="str">
        <f>IF('Doors order'!D20="","",IF('Doors order'!$N$7="mm",'Doors order'!D20/25.4,'Doors order'!D20))</f>
        <v/>
      </c>
      <c r="J12" t="str">
        <f>IF('Doors order'!E20="","",18)</f>
        <v/>
      </c>
      <c r="K12" t="str">
        <f>IF('Doors order'!F20="","",IF('Doors order'!F20="no grain",0,IF('Doors order'!F20="vertical",1,IF('Doors order'!F20="horizontal",2,IF('Doors order'!F20="ver.sequenced",1,IF('Doors order'!F20="hor.sequenced",2,0))))))</f>
        <v/>
      </c>
      <c r="L12" t="str">
        <f>IF('Doors order'!F20="","",IF('Doors order'!F20="no grain",0,IF('Doors order'!F20="vertical",0,IF('Doors order'!F20="horizontal",0,IF('Doors order'!F20="ver.sequenced",1,IF('Doors order'!F20="hor.sequenced",2,0))))))</f>
        <v/>
      </c>
      <c r="M12" t="str">
        <f>IF('Doors order'!G20="","",IF(VLOOKUP('Doors order'!G20,BDD!$Y:$AT,22,0)="","",VLOOKUP('Doors order'!G20,BDD!$Y:$AT,22,0)))</f>
        <v/>
      </c>
      <c r="N12" t="str">
        <f>IF('Doors order'!H20="","",IF(VLOOKUP('Doors order'!H20,BDD!$Y:$AT,22,0)="","",VLOOKUP('Doors order'!H20,BDD!$Y:$AT,22,0)))</f>
        <v/>
      </c>
      <c r="O12" t="str">
        <f>IF('Doors order'!I20="","",IF(VLOOKUP('Doors order'!I20,BDD!$Y:$AT,22,0)="","",VLOOKUP('Doors order'!I20,BDD!$Y:$AT,22,0)))</f>
        <v/>
      </c>
      <c r="P12" t="str">
        <f>IF('Doors order'!J20="","",IF(VLOOKUP('Doors order'!J20,BDD!$Y:$AT,22,0)="","",VLOOKUP('Doors order'!J20,BDD!$Y:$AT,22,0)))</f>
        <v/>
      </c>
      <c r="Q12" t="str">
        <f>IF('Doors order'!G20="","",IF(VLOOKUP('Doors order'!G20,BDD!$Y:$AE,7,0)=1,"TRUE","FALSE"))</f>
        <v/>
      </c>
      <c r="R12" t="str">
        <f>IF('Doors order'!H20="","",IF(VLOOKUP('Doors order'!H20,BDD!$Y:$AE,7,0)=1,"TRUE","FALSE"))</f>
        <v/>
      </c>
      <c r="S12" t="str">
        <f>IF('Doors order'!I20="","",IF(VLOOKUP('Doors order'!I20,BDD!$Y:$AE,7,0)=1,"TRUE","FALSE"))</f>
        <v/>
      </c>
      <c r="T12" s="418" t="str">
        <f>IF('Doors order'!J20="","",IF(VLOOKUP('Doors order'!J20,BDD!$Y:$AE,7,0)=1,"TRUE","FALSE"))</f>
        <v/>
      </c>
    </row>
    <row r="13" spans="1:20" x14ac:dyDescent="0.25">
      <c r="A13" s="422" t="str">
        <f>IF(B13="","",IF(C13="","",IF('Doors order'!$G$7="","",RIGHT(CONCATENATE("000000",'Doors order'!$G$7), 6))))</f>
        <v/>
      </c>
      <c r="B13" t="str">
        <f>IF(C13="","",IF('Doors order'!$A$7="","",'Doors order'!$A$7))</f>
        <v/>
      </c>
      <c r="C13" s="64" t="str">
        <f>IF(D13="","",IF('Doors order'!$K$7="","",'Doors order'!$K$7))</f>
        <v/>
      </c>
      <c r="D13" t="str">
        <f>IF(E13="","",IF('Doors order'!F21="Finger Pull",IF(E13=BDD!$AK$122,BDD!$AK$127,BDD!$AK$126),IF(E13=BDD!$AK$122,BDD!$AK$116,BDD!$AK$117)))</f>
        <v/>
      </c>
      <c r="E13" t="str">
        <f>IF('Doors order'!E21="","",IF(VLOOKUP('Doors order'!E21,BDD!B:AJ,35,0)=1,BDD!$AK$118,IF(VLOOKUP('Doors order'!E21,BDD!B:AJ,35,0)=2,BDD!$AK$120,IF(VLOOKUP('Doors order'!E21,BDD!B:AJ,35,0)=3,BDD!$AK$119,IF(VLOOKUP('Doors order'!E21,BDD!B:AJ,35,0)=4,BDD!$AK$121,IF(VLOOKUP('Doors order'!E21,BDD!B:AJ,35,0)=5,BDD!$AK$122))))))</f>
        <v/>
      </c>
      <c r="F13" t="str">
        <f>IF('Doors order'!E21="","",IF(VLOOKUP('Doors order'!E21,BDD!B:AQ,42,0)="","",VLOOKUP('Doors order'!E21,BDD!B:AQ,42,0)))</f>
        <v/>
      </c>
      <c r="G13" t="str">
        <f>IF('Doors order'!B21="","",'Doors order'!B21)</f>
        <v/>
      </c>
      <c r="H13" t="str">
        <f>IF('Doors order'!C21="","",IF('Doors order'!$N$7="mm",'Doors order'!C21/25.4,'Doors order'!C21))</f>
        <v/>
      </c>
      <c r="I13" t="str">
        <f>IF('Doors order'!D21="","",IF('Doors order'!$N$7="mm",'Doors order'!D21/25.4,'Doors order'!D21))</f>
        <v/>
      </c>
      <c r="J13" t="str">
        <f>IF('Doors order'!E21="","",18)</f>
        <v/>
      </c>
      <c r="K13" t="str">
        <f>IF('Doors order'!F21="","",IF('Doors order'!F21="no grain",0,IF('Doors order'!F21="vertical",1,IF('Doors order'!F21="horizontal",2,IF('Doors order'!F21="ver.sequenced",1,IF('Doors order'!F21="hor.sequenced",2,0))))))</f>
        <v/>
      </c>
      <c r="L13" t="str">
        <f>IF('Doors order'!F21="","",IF('Doors order'!F21="no grain",0,IF('Doors order'!F21="vertical",0,IF('Doors order'!F21="horizontal",0,IF('Doors order'!F21="ver.sequenced",1,IF('Doors order'!F21="hor.sequenced",2,0))))))</f>
        <v/>
      </c>
      <c r="M13" t="str">
        <f>IF('Doors order'!G21="","",IF(VLOOKUP('Doors order'!G21,BDD!$Y:$AT,22,0)="","",VLOOKUP('Doors order'!G21,BDD!$Y:$AT,22,0)))</f>
        <v/>
      </c>
      <c r="N13" t="str">
        <f>IF('Doors order'!H21="","",IF(VLOOKUP('Doors order'!H21,BDD!$Y:$AT,22,0)="","",VLOOKUP('Doors order'!H21,BDD!$Y:$AT,22,0)))</f>
        <v/>
      </c>
      <c r="O13" t="str">
        <f>IF('Doors order'!I21="","",IF(VLOOKUP('Doors order'!I21,BDD!$Y:$AT,22,0)="","",VLOOKUP('Doors order'!I21,BDD!$Y:$AT,22,0)))</f>
        <v/>
      </c>
      <c r="P13" t="str">
        <f>IF('Doors order'!J21="","",IF(VLOOKUP('Doors order'!J21,BDD!$Y:$AT,22,0)="","",VLOOKUP('Doors order'!J21,BDD!$Y:$AT,22,0)))</f>
        <v/>
      </c>
      <c r="Q13" t="str">
        <f>IF('Doors order'!G21="","",IF(VLOOKUP('Doors order'!G21,BDD!$Y:$AE,7,0)=1,"TRUE","FALSE"))</f>
        <v/>
      </c>
      <c r="R13" t="str">
        <f>IF('Doors order'!H21="","",IF(VLOOKUP('Doors order'!H21,BDD!$Y:$AE,7,0)=1,"TRUE","FALSE"))</f>
        <v/>
      </c>
      <c r="S13" t="str">
        <f>IF('Doors order'!I21="","",IF(VLOOKUP('Doors order'!I21,BDD!$Y:$AE,7,0)=1,"TRUE","FALSE"))</f>
        <v/>
      </c>
      <c r="T13" s="418" t="str">
        <f>IF('Doors order'!J21="","",IF(VLOOKUP('Doors order'!J21,BDD!$Y:$AE,7,0)=1,"TRUE","FALSE"))</f>
        <v/>
      </c>
    </row>
    <row r="14" spans="1:20" x14ac:dyDescent="0.25">
      <c r="A14" s="422" t="str">
        <f>IF(B14="","",IF(C14="","",IF('Doors order'!$G$7="","",RIGHT(CONCATENATE("000000",'Doors order'!$G$7), 6))))</f>
        <v/>
      </c>
      <c r="B14" t="str">
        <f>IF(C14="","",IF('Doors order'!$A$7="","",'Doors order'!$A$7))</f>
        <v/>
      </c>
      <c r="C14" s="64" t="str">
        <f>IF(D14="","",IF('Doors order'!$K$7="","",'Doors order'!$K$7))</f>
        <v/>
      </c>
      <c r="D14" t="str">
        <f>IF(E14="","",IF('Doors order'!F22="Finger Pull",IF(E14=BDD!$AK$122,BDD!$AK$127,BDD!$AK$126),IF(E14=BDD!$AK$122,BDD!$AK$116,BDD!$AK$117)))</f>
        <v/>
      </c>
      <c r="E14" t="str">
        <f>IF('Doors order'!E22="","",IF(VLOOKUP('Doors order'!E22,BDD!B:AJ,35,0)=1,BDD!$AK$118,IF(VLOOKUP('Doors order'!E22,BDD!B:AJ,35,0)=2,BDD!$AK$120,IF(VLOOKUP('Doors order'!E22,BDD!B:AJ,35,0)=3,BDD!$AK$119,IF(VLOOKUP('Doors order'!E22,BDD!B:AJ,35,0)=4,BDD!$AK$121,IF(VLOOKUP('Doors order'!E22,BDD!B:AJ,35,0)=5,BDD!$AK$122))))))</f>
        <v/>
      </c>
      <c r="F14" t="str">
        <f>IF('Doors order'!E22="","",IF(VLOOKUP('Doors order'!E22,BDD!B:AQ,42,0)="","",VLOOKUP('Doors order'!E22,BDD!B:AQ,42,0)))</f>
        <v/>
      </c>
      <c r="G14" t="str">
        <f>IF('Doors order'!B22="","",'Doors order'!B22)</f>
        <v/>
      </c>
      <c r="H14" t="str">
        <f>IF('Doors order'!C22="","",IF('Doors order'!$N$7="mm",'Doors order'!C22/25.4,'Doors order'!C22))</f>
        <v/>
      </c>
      <c r="I14" t="str">
        <f>IF('Doors order'!D22="","",IF('Doors order'!$N$7="mm",'Doors order'!D22/25.4,'Doors order'!D22))</f>
        <v/>
      </c>
      <c r="J14" t="str">
        <f>IF('Doors order'!E22="","",18)</f>
        <v/>
      </c>
      <c r="K14" t="str">
        <f>IF('Doors order'!F22="","",IF('Doors order'!F22="no grain",0,IF('Doors order'!F22="vertical",1,IF('Doors order'!F22="horizontal",2,IF('Doors order'!F22="ver.sequenced",1,IF('Doors order'!F22="hor.sequenced",2,0))))))</f>
        <v/>
      </c>
      <c r="L14" t="str">
        <f>IF('Doors order'!F22="","",IF('Doors order'!F22="no grain",0,IF('Doors order'!F22="vertical",0,IF('Doors order'!F22="horizontal",0,IF('Doors order'!F22="ver.sequenced",1,IF('Doors order'!F22="hor.sequenced",2,0))))))</f>
        <v/>
      </c>
      <c r="M14" t="str">
        <f>IF('Doors order'!G22="","",IF(VLOOKUP('Doors order'!G22,BDD!$Y:$AT,22,0)="","",VLOOKUP('Doors order'!G22,BDD!$Y:$AT,22,0)))</f>
        <v/>
      </c>
      <c r="N14" t="str">
        <f>IF('Doors order'!H22="","",IF(VLOOKUP('Doors order'!H22,BDD!$Y:$AT,22,0)="","",VLOOKUP('Doors order'!H22,BDD!$Y:$AT,22,0)))</f>
        <v/>
      </c>
      <c r="O14" t="str">
        <f>IF('Doors order'!I22="","",IF(VLOOKUP('Doors order'!I22,BDD!$Y:$AT,22,0)="","",VLOOKUP('Doors order'!I22,BDD!$Y:$AT,22,0)))</f>
        <v/>
      </c>
      <c r="P14" t="str">
        <f>IF('Doors order'!J22="","",IF(VLOOKUP('Doors order'!J22,BDD!$Y:$AT,22,0)="","",VLOOKUP('Doors order'!J22,BDD!$Y:$AT,22,0)))</f>
        <v/>
      </c>
      <c r="Q14" t="str">
        <f>IF('Doors order'!G22="","",IF(VLOOKUP('Doors order'!G22,BDD!$Y:$AE,7,0)=1,"TRUE","FALSE"))</f>
        <v/>
      </c>
      <c r="R14" t="str">
        <f>IF('Doors order'!H22="","",IF(VLOOKUP('Doors order'!H22,BDD!$Y:$AE,7,0)=1,"TRUE","FALSE"))</f>
        <v/>
      </c>
      <c r="S14" t="str">
        <f>IF('Doors order'!I22="","",IF(VLOOKUP('Doors order'!I22,BDD!$Y:$AE,7,0)=1,"TRUE","FALSE"))</f>
        <v/>
      </c>
      <c r="T14" s="418" t="str">
        <f>IF('Doors order'!J22="","",IF(VLOOKUP('Doors order'!J22,BDD!$Y:$AE,7,0)=1,"TRUE","FALSE"))</f>
        <v/>
      </c>
    </row>
    <row r="15" spans="1:20" x14ac:dyDescent="0.25">
      <c r="A15" s="422" t="str">
        <f>IF(B15="","",IF(C15="","",IF('Doors order'!$G$7="","",RIGHT(CONCATENATE("000000",'Doors order'!$G$7), 6))))</f>
        <v/>
      </c>
      <c r="B15" t="str">
        <f>IF(C15="","",IF('Doors order'!$A$7="","",'Doors order'!$A$7))</f>
        <v/>
      </c>
      <c r="C15" s="64" t="str">
        <f>IF(D15="","",IF('Doors order'!$K$7="","",'Doors order'!$K$7))</f>
        <v/>
      </c>
      <c r="D15" t="str">
        <f>IF(E15="","",IF('Doors order'!F23="Finger Pull",IF(E15=BDD!$AK$122,BDD!$AK$127,BDD!$AK$126),IF(E15=BDD!$AK$122,BDD!$AK$116,BDD!$AK$117)))</f>
        <v/>
      </c>
      <c r="E15" t="str">
        <f>IF('Doors order'!E23="","",IF(VLOOKUP('Doors order'!E23,BDD!B:AJ,35,0)=1,BDD!$AK$118,IF(VLOOKUP('Doors order'!E23,BDD!B:AJ,35,0)=2,BDD!$AK$120,IF(VLOOKUP('Doors order'!E23,BDD!B:AJ,35,0)=3,BDD!$AK$119,IF(VLOOKUP('Doors order'!E23,BDD!B:AJ,35,0)=4,BDD!$AK$121,IF(VLOOKUP('Doors order'!E23,BDD!B:AJ,35,0)=5,BDD!$AK$122))))))</f>
        <v/>
      </c>
      <c r="F15" t="str">
        <f>IF('Doors order'!E23="","",IF(VLOOKUP('Doors order'!E23,BDD!B:AQ,42,0)="","",VLOOKUP('Doors order'!E23,BDD!B:AQ,42,0)))</f>
        <v/>
      </c>
      <c r="G15" t="str">
        <f>IF('Doors order'!B23="","",'Doors order'!B23)</f>
        <v/>
      </c>
      <c r="H15" t="str">
        <f>IF('Doors order'!C23="","",IF('Doors order'!$N$7="mm",'Doors order'!C23/25.4,'Doors order'!C23))</f>
        <v/>
      </c>
      <c r="I15" t="str">
        <f>IF('Doors order'!D23="","",IF('Doors order'!$N$7="mm",'Doors order'!D23/25.4,'Doors order'!D23))</f>
        <v/>
      </c>
      <c r="J15" t="str">
        <f>IF('Doors order'!E23="","",18)</f>
        <v/>
      </c>
      <c r="K15" t="str">
        <f>IF('Doors order'!F23="","",IF('Doors order'!F23="no grain",0,IF('Doors order'!F23="vertical",1,IF('Doors order'!F23="horizontal",2,IF('Doors order'!F23="ver.sequenced",1,IF('Doors order'!F23="hor.sequenced",2,0))))))</f>
        <v/>
      </c>
      <c r="L15" t="str">
        <f>IF('Doors order'!F23="","",IF('Doors order'!F23="no grain",0,IF('Doors order'!F23="vertical",0,IF('Doors order'!F23="horizontal",0,IF('Doors order'!F23="ver.sequenced",1,IF('Doors order'!F23="hor.sequenced",2,0))))))</f>
        <v/>
      </c>
      <c r="M15" t="str">
        <f>IF('Doors order'!G23="","",IF(VLOOKUP('Doors order'!G23,BDD!$Y:$AT,22,0)="","",VLOOKUP('Doors order'!G23,BDD!$Y:$AT,22,0)))</f>
        <v/>
      </c>
      <c r="N15" t="str">
        <f>IF('Doors order'!H23="","",IF(VLOOKUP('Doors order'!H23,BDD!$Y:$AT,22,0)="","",VLOOKUP('Doors order'!H23,BDD!$Y:$AT,22,0)))</f>
        <v/>
      </c>
      <c r="O15" t="str">
        <f>IF('Doors order'!I23="","",IF(VLOOKUP('Doors order'!I23,BDD!$Y:$AT,22,0)="","",VLOOKUP('Doors order'!I23,BDD!$Y:$AT,22,0)))</f>
        <v/>
      </c>
      <c r="P15" t="str">
        <f>IF('Doors order'!J23="","",IF(VLOOKUP('Doors order'!J23,BDD!$Y:$AT,22,0)="","",VLOOKUP('Doors order'!J23,BDD!$Y:$AT,22,0)))</f>
        <v/>
      </c>
      <c r="Q15" t="str">
        <f>IF('Doors order'!G23="","",IF(VLOOKUP('Doors order'!G23,BDD!$Y:$AE,7,0)=1,"TRUE","FALSE"))</f>
        <v/>
      </c>
      <c r="R15" t="str">
        <f>IF('Doors order'!H23="","",IF(VLOOKUP('Doors order'!H23,BDD!$Y:$AE,7,0)=1,"TRUE","FALSE"))</f>
        <v/>
      </c>
      <c r="S15" t="str">
        <f>IF('Doors order'!I23="","",IF(VLOOKUP('Doors order'!I23,BDD!$Y:$AE,7,0)=1,"TRUE","FALSE"))</f>
        <v/>
      </c>
      <c r="T15" s="418" t="str">
        <f>IF('Doors order'!J23="","",IF(VLOOKUP('Doors order'!J23,BDD!$Y:$AE,7,0)=1,"TRUE","FALSE"))</f>
        <v/>
      </c>
    </row>
    <row r="16" spans="1:20" x14ac:dyDescent="0.25">
      <c r="A16" s="422" t="str">
        <f>IF(B16="","",IF(C16="","",IF('Doors order'!$G$7="","",RIGHT(CONCATENATE("000000",'Doors order'!$G$7), 6))))</f>
        <v/>
      </c>
      <c r="B16" t="str">
        <f>IF(C16="","",IF('Doors order'!$A$7="","",'Doors order'!$A$7))</f>
        <v/>
      </c>
      <c r="C16" s="64" t="str">
        <f>IF(D16="","",IF('Doors order'!$K$7="","",'Doors order'!$K$7))</f>
        <v/>
      </c>
      <c r="D16" t="str">
        <f>IF(E16="","",IF('Doors order'!F24="Finger Pull",IF(E16=BDD!$AK$122,BDD!$AK$127,BDD!$AK$126),IF(E16=BDD!$AK$122,BDD!$AK$116,BDD!$AK$117)))</f>
        <v/>
      </c>
      <c r="E16" t="str">
        <f>IF('Doors order'!E24="","",IF(VLOOKUP('Doors order'!E24,BDD!B:AJ,35,0)=1,BDD!$AK$118,IF(VLOOKUP('Doors order'!E24,BDD!B:AJ,35,0)=2,BDD!$AK$120,IF(VLOOKUP('Doors order'!E24,BDD!B:AJ,35,0)=3,BDD!$AK$119,IF(VLOOKUP('Doors order'!E24,BDD!B:AJ,35,0)=4,BDD!$AK$121,IF(VLOOKUP('Doors order'!E24,BDD!B:AJ,35,0)=5,BDD!$AK$122))))))</f>
        <v/>
      </c>
      <c r="F16" t="str">
        <f>IF('Doors order'!E24="","",IF(VLOOKUP('Doors order'!E24,BDD!B:AQ,42,0)="","",VLOOKUP('Doors order'!E24,BDD!B:AQ,42,0)))</f>
        <v/>
      </c>
      <c r="G16" t="str">
        <f>IF('Doors order'!B24="","",'Doors order'!B24)</f>
        <v/>
      </c>
      <c r="H16" t="str">
        <f>IF('Doors order'!C24="","",IF('Doors order'!$N$7="mm",'Doors order'!C24/25.4,'Doors order'!C24))</f>
        <v/>
      </c>
      <c r="I16" t="str">
        <f>IF('Doors order'!D24="","",IF('Doors order'!$N$7="mm",'Doors order'!D24/25.4,'Doors order'!D24))</f>
        <v/>
      </c>
      <c r="J16" t="str">
        <f>IF('Doors order'!E24="","",18)</f>
        <v/>
      </c>
      <c r="K16" t="str">
        <f>IF('Doors order'!F24="","",IF('Doors order'!F24="no grain",0,IF('Doors order'!F24="vertical",1,IF('Doors order'!F24="horizontal",2,IF('Doors order'!F24="ver.sequenced",1,IF('Doors order'!F24="hor.sequenced",2,0))))))</f>
        <v/>
      </c>
      <c r="L16" t="str">
        <f>IF('Doors order'!F24="","",IF('Doors order'!F24="no grain",0,IF('Doors order'!F24="vertical",0,IF('Doors order'!F24="horizontal",0,IF('Doors order'!F24="ver.sequenced",1,IF('Doors order'!F24="hor.sequenced",2,0))))))</f>
        <v/>
      </c>
      <c r="M16" t="str">
        <f>IF('Doors order'!G24="","",IF(VLOOKUP('Doors order'!G24,BDD!$Y:$AT,22,0)="","",VLOOKUP('Doors order'!G24,BDD!$Y:$AT,22,0)))</f>
        <v/>
      </c>
      <c r="N16" t="str">
        <f>IF('Doors order'!H24="","",IF(VLOOKUP('Doors order'!H24,BDD!$Y:$AT,22,0)="","",VLOOKUP('Doors order'!H24,BDD!$Y:$AT,22,0)))</f>
        <v/>
      </c>
      <c r="O16" t="str">
        <f>IF('Doors order'!I24="","",IF(VLOOKUP('Doors order'!I24,BDD!$Y:$AT,22,0)="","",VLOOKUP('Doors order'!I24,BDD!$Y:$AT,22,0)))</f>
        <v/>
      </c>
      <c r="P16" t="str">
        <f>IF('Doors order'!J24="","",IF(VLOOKUP('Doors order'!J24,BDD!$Y:$AT,22,0)="","",VLOOKUP('Doors order'!J24,BDD!$Y:$AT,22,0)))</f>
        <v/>
      </c>
      <c r="Q16" t="str">
        <f>IF('Doors order'!G24="","",IF(VLOOKUP('Doors order'!G24,BDD!$Y:$AE,7,0)=1,"TRUE","FALSE"))</f>
        <v/>
      </c>
      <c r="R16" t="str">
        <f>IF('Doors order'!H24="","",IF(VLOOKUP('Doors order'!H24,BDD!$Y:$AE,7,0)=1,"TRUE","FALSE"))</f>
        <v/>
      </c>
      <c r="S16" t="str">
        <f>IF('Doors order'!I24="","",IF(VLOOKUP('Doors order'!I24,BDD!$Y:$AE,7,0)=1,"TRUE","FALSE"))</f>
        <v/>
      </c>
      <c r="T16" s="418" t="str">
        <f>IF('Doors order'!J24="","",IF(VLOOKUP('Doors order'!J24,BDD!$Y:$AE,7,0)=1,"TRUE","FALSE"))</f>
        <v/>
      </c>
    </row>
    <row r="17" spans="1:20" x14ac:dyDescent="0.25">
      <c r="A17" s="422" t="str">
        <f>IF(B17="","",IF(C17="","",IF('Doors order'!$G$7="","",RIGHT(CONCATENATE("000000",'Doors order'!$G$7), 6))))</f>
        <v/>
      </c>
      <c r="B17" t="str">
        <f>IF(C17="","",IF('Doors order'!$A$7="","",'Doors order'!$A$7))</f>
        <v/>
      </c>
      <c r="C17" s="64" t="str">
        <f>IF(D17="","",IF('Doors order'!$K$7="","",'Doors order'!$K$7))</f>
        <v/>
      </c>
      <c r="D17" t="str">
        <f>IF(E17="","",IF('Doors order'!F25="Finger Pull",IF(E17=BDD!$AK$122,BDD!$AK$127,BDD!$AK$126),IF(E17=BDD!$AK$122,BDD!$AK$116,BDD!$AK$117)))</f>
        <v/>
      </c>
      <c r="E17" t="str">
        <f>IF('Doors order'!E25="","",IF(VLOOKUP('Doors order'!E25,BDD!B:AJ,35,0)=1,BDD!$AK$118,IF(VLOOKUP('Doors order'!E25,BDD!B:AJ,35,0)=2,BDD!$AK$120,IF(VLOOKUP('Doors order'!E25,BDD!B:AJ,35,0)=3,BDD!$AK$119,IF(VLOOKUP('Doors order'!E25,BDD!B:AJ,35,0)=4,BDD!$AK$121,IF(VLOOKUP('Doors order'!E25,BDD!B:AJ,35,0)=5,BDD!$AK$122))))))</f>
        <v/>
      </c>
      <c r="F17" t="str">
        <f>IF('Doors order'!E25="","",IF(VLOOKUP('Doors order'!E25,BDD!B:AQ,42,0)="","",VLOOKUP('Doors order'!E25,BDD!B:AQ,42,0)))</f>
        <v/>
      </c>
      <c r="G17" t="str">
        <f>IF('Doors order'!B25="","",'Doors order'!B25)</f>
        <v/>
      </c>
      <c r="H17" t="str">
        <f>IF('Doors order'!C25="","",IF('Doors order'!$N$7="mm",'Doors order'!C25/25.4,'Doors order'!C25))</f>
        <v/>
      </c>
      <c r="I17" t="str">
        <f>IF('Doors order'!D25="","",IF('Doors order'!$N$7="mm",'Doors order'!D25/25.4,'Doors order'!D25))</f>
        <v/>
      </c>
      <c r="J17" t="str">
        <f>IF('Doors order'!E25="","",18)</f>
        <v/>
      </c>
      <c r="K17" t="str">
        <f>IF('Doors order'!F25="","",IF('Doors order'!F25="no grain",0,IF('Doors order'!F25="vertical",1,IF('Doors order'!F25="horizontal",2,IF('Doors order'!F25="ver.sequenced",1,IF('Doors order'!F25="hor.sequenced",2,0))))))</f>
        <v/>
      </c>
      <c r="L17" t="str">
        <f>IF('Doors order'!F25="","",IF('Doors order'!F25="no grain",0,IF('Doors order'!F25="vertical",0,IF('Doors order'!F25="horizontal",0,IF('Doors order'!F25="ver.sequenced",1,IF('Doors order'!F25="hor.sequenced",2,0))))))</f>
        <v/>
      </c>
      <c r="M17" t="str">
        <f>IF('Doors order'!G25="","",IF(VLOOKUP('Doors order'!G25,BDD!$Y:$AT,22,0)="","",VLOOKUP('Doors order'!G25,BDD!$Y:$AT,22,0)))</f>
        <v/>
      </c>
      <c r="N17" t="str">
        <f>IF('Doors order'!H25="","",IF(VLOOKUP('Doors order'!H25,BDD!$Y:$AT,22,0)="","",VLOOKUP('Doors order'!H25,BDD!$Y:$AT,22,0)))</f>
        <v/>
      </c>
      <c r="O17" t="str">
        <f>IF('Doors order'!I25="","",IF(VLOOKUP('Doors order'!I25,BDD!$Y:$AT,22,0)="","",VLOOKUP('Doors order'!I25,BDD!$Y:$AT,22,0)))</f>
        <v/>
      </c>
      <c r="P17" t="str">
        <f>IF('Doors order'!J25="","",IF(VLOOKUP('Doors order'!J25,BDD!$Y:$AT,22,0)="","",VLOOKUP('Doors order'!J25,BDD!$Y:$AT,22,0)))</f>
        <v/>
      </c>
      <c r="Q17" t="str">
        <f>IF('Doors order'!G25="","",IF(VLOOKUP('Doors order'!G25,BDD!$Y:$AE,7,0)=1,"TRUE","FALSE"))</f>
        <v/>
      </c>
      <c r="R17" t="str">
        <f>IF('Doors order'!H25="","",IF(VLOOKUP('Doors order'!H25,BDD!$Y:$AE,7,0)=1,"TRUE","FALSE"))</f>
        <v/>
      </c>
      <c r="S17" t="str">
        <f>IF('Doors order'!I25="","",IF(VLOOKUP('Doors order'!I25,BDD!$Y:$AE,7,0)=1,"TRUE","FALSE"))</f>
        <v/>
      </c>
      <c r="T17" s="418" t="str">
        <f>IF('Doors order'!J25="","",IF(VLOOKUP('Doors order'!J25,BDD!$Y:$AE,7,0)=1,"TRUE","FALSE"))</f>
        <v/>
      </c>
    </row>
    <row r="18" spans="1:20" x14ac:dyDescent="0.25">
      <c r="A18" s="422" t="str">
        <f>IF(B18="","",IF(C18="","",IF('Doors order'!$G$7="","",RIGHT(CONCATENATE("000000",'Doors order'!$G$7), 6))))</f>
        <v/>
      </c>
      <c r="B18" t="str">
        <f>IF(C18="","",IF('Doors order'!$A$7="","",'Doors order'!$A$7))</f>
        <v/>
      </c>
      <c r="C18" s="64" t="str">
        <f>IF(D18="","",IF('Doors order'!$K$7="","",'Doors order'!$K$7))</f>
        <v/>
      </c>
      <c r="D18" t="str">
        <f>IF(E18="","",IF('Doors order'!F26="Finger Pull",IF(E18=BDD!$AK$122,BDD!$AK$127,BDD!$AK$126),IF(E18=BDD!$AK$122,BDD!$AK$116,BDD!$AK$117)))</f>
        <v/>
      </c>
      <c r="E18" t="str">
        <f>IF('Doors order'!E26="","",IF(VLOOKUP('Doors order'!E26,BDD!B:AJ,35,0)=1,BDD!$AK$118,IF(VLOOKUP('Doors order'!E26,BDD!B:AJ,35,0)=2,BDD!$AK$120,IF(VLOOKUP('Doors order'!E26,BDD!B:AJ,35,0)=3,BDD!$AK$119,IF(VLOOKUP('Doors order'!E26,BDD!B:AJ,35,0)=4,BDD!$AK$121,IF(VLOOKUP('Doors order'!E26,BDD!B:AJ,35,0)=5,BDD!$AK$122))))))</f>
        <v/>
      </c>
      <c r="F18" t="str">
        <f>IF('Doors order'!E26="","",IF(VLOOKUP('Doors order'!E26,BDD!B:AQ,42,0)="","",VLOOKUP('Doors order'!E26,BDD!B:AQ,42,0)))</f>
        <v/>
      </c>
      <c r="G18" t="str">
        <f>IF('Doors order'!B26="","",'Doors order'!B26)</f>
        <v/>
      </c>
      <c r="H18" t="str">
        <f>IF('Doors order'!C26="","",IF('Doors order'!$N$7="mm",'Doors order'!C26/25.4,'Doors order'!C26))</f>
        <v/>
      </c>
      <c r="I18" t="str">
        <f>IF('Doors order'!D26="","",IF('Doors order'!$N$7="mm",'Doors order'!D26/25.4,'Doors order'!D26))</f>
        <v/>
      </c>
      <c r="J18" t="str">
        <f>IF('Doors order'!E26="","",18)</f>
        <v/>
      </c>
      <c r="K18" t="str">
        <f>IF('Doors order'!F26="","",IF('Doors order'!F26="no grain",0,IF('Doors order'!F26="vertical",1,IF('Doors order'!F26="horizontal",2,IF('Doors order'!F26="ver.sequenced",1,IF('Doors order'!F26="hor.sequenced",2,0))))))</f>
        <v/>
      </c>
      <c r="L18" t="str">
        <f>IF('Doors order'!F26="","",IF('Doors order'!F26="no grain",0,IF('Doors order'!F26="vertical",0,IF('Doors order'!F26="horizontal",0,IF('Doors order'!F26="ver.sequenced",1,IF('Doors order'!F26="hor.sequenced",2,0))))))</f>
        <v/>
      </c>
      <c r="M18" t="str">
        <f>IF('Doors order'!G26="","",IF(VLOOKUP('Doors order'!G26,BDD!$Y:$AT,22,0)="","",VLOOKUP('Doors order'!G26,BDD!$Y:$AT,22,0)))</f>
        <v/>
      </c>
      <c r="N18" t="str">
        <f>IF('Doors order'!H26="","",IF(VLOOKUP('Doors order'!H26,BDD!$Y:$AT,22,0)="","",VLOOKUP('Doors order'!H26,BDD!$Y:$AT,22,0)))</f>
        <v/>
      </c>
      <c r="O18" t="str">
        <f>IF('Doors order'!I26="","",IF(VLOOKUP('Doors order'!I26,BDD!$Y:$AT,22,0)="","",VLOOKUP('Doors order'!I26,BDD!$Y:$AT,22,0)))</f>
        <v/>
      </c>
      <c r="P18" t="str">
        <f>IF('Doors order'!J26="","",IF(VLOOKUP('Doors order'!J26,BDD!$Y:$AT,22,0)="","",VLOOKUP('Doors order'!J26,BDD!$Y:$AT,22,0)))</f>
        <v/>
      </c>
      <c r="Q18" t="str">
        <f>IF('Doors order'!G26="","",IF(VLOOKUP('Doors order'!G26,BDD!$Y:$AE,7,0)=1,"TRUE","FALSE"))</f>
        <v/>
      </c>
      <c r="R18" t="str">
        <f>IF('Doors order'!H26="","",IF(VLOOKUP('Doors order'!H26,BDD!$Y:$AE,7,0)=1,"TRUE","FALSE"))</f>
        <v/>
      </c>
      <c r="S18" t="str">
        <f>IF('Doors order'!I26="","",IF(VLOOKUP('Doors order'!I26,BDD!$Y:$AE,7,0)=1,"TRUE","FALSE"))</f>
        <v/>
      </c>
      <c r="T18" s="418" t="str">
        <f>IF('Doors order'!J26="","",IF(VLOOKUP('Doors order'!J26,BDD!$Y:$AE,7,0)=1,"TRUE","FALSE"))</f>
        <v/>
      </c>
    </row>
    <row r="19" spans="1:20" x14ac:dyDescent="0.25">
      <c r="A19" s="422" t="str">
        <f>IF(B19="","",IF(C19="","",IF('Doors order'!$G$7="","",RIGHT(CONCATENATE("000000",'Doors order'!$G$7), 6))))</f>
        <v/>
      </c>
      <c r="B19" t="str">
        <f>IF(C19="","",IF('Doors order'!$A$7="","",'Doors order'!$A$7))</f>
        <v/>
      </c>
      <c r="C19" s="64" t="str">
        <f>IF(D19="","",IF('Doors order'!$K$7="","",'Doors order'!$K$7))</f>
        <v/>
      </c>
      <c r="D19" t="str">
        <f>IF(E19="","",IF('Doors order'!F27="Finger Pull",IF(E19=BDD!$AK$122,BDD!$AK$127,BDD!$AK$126),IF(E19=BDD!$AK$122,BDD!$AK$116,BDD!$AK$117)))</f>
        <v/>
      </c>
      <c r="E19" t="str">
        <f>IF('Doors order'!E27="","",IF(VLOOKUP('Doors order'!E27,BDD!B:AJ,35,0)=1,BDD!$AK$118,IF(VLOOKUP('Doors order'!E27,BDD!B:AJ,35,0)=2,BDD!$AK$120,IF(VLOOKUP('Doors order'!E27,BDD!B:AJ,35,0)=3,BDD!$AK$119,IF(VLOOKUP('Doors order'!E27,BDD!B:AJ,35,0)=4,BDD!$AK$121,IF(VLOOKUP('Doors order'!E27,BDD!B:AJ,35,0)=5,BDD!$AK$122))))))</f>
        <v/>
      </c>
      <c r="F19" t="str">
        <f>IF('Doors order'!E27="","",IF(VLOOKUP('Doors order'!E27,BDD!B:AQ,42,0)="","",VLOOKUP('Doors order'!E27,BDD!B:AQ,42,0)))</f>
        <v/>
      </c>
      <c r="G19" t="str">
        <f>IF('Doors order'!B27="","",'Doors order'!B27)</f>
        <v/>
      </c>
      <c r="H19" t="str">
        <f>IF('Doors order'!C27="","",IF('Doors order'!$N$7="mm",'Doors order'!C27/25.4,'Doors order'!C27))</f>
        <v/>
      </c>
      <c r="I19" t="str">
        <f>IF('Doors order'!D27="","",IF('Doors order'!$N$7="mm",'Doors order'!D27/25.4,'Doors order'!D27))</f>
        <v/>
      </c>
      <c r="J19" t="str">
        <f>IF('Doors order'!E27="","",18)</f>
        <v/>
      </c>
      <c r="K19" t="str">
        <f>IF('Doors order'!F27="","",IF('Doors order'!F27="no grain",0,IF('Doors order'!F27="vertical",1,IF('Doors order'!F27="horizontal",2,IF('Doors order'!F27="ver.sequenced",1,IF('Doors order'!F27="hor.sequenced",2,0))))))</f>
        <v/>
      </c>
      <c r="L19" t="str">
        <f>IF('Doors order'!F27="","",IF('Doors order'!F27="no grain",0,IF('Doors order'!F27="vertical",0,IF('Doors order'!F27="horizontal",0,IF('Doors order'!F27="ver.sequenced",1,IF('Doors order'!F27="hor.sequenced",2,0))))))</f>
        <v/>
      </c>
      <c r="M19" t="str">
        <f>IF('Doors order'!G27="","",IF(VLOOKUP('Doors order'!G27,BDD!$Y:$AT,22,0)="","",VLOOKUP('Doors order'!G27,BDD!$Y:$AT,22,0)))</f>
        <v/>
      </c>
      <c r="N19" t="str">
        <f>IF('Doors order'!H27="","",IF(VLOOKUP('Doors order'!H27,BDD!$Y:$AT,22,0)="","",VLOOKUP('Doors order'!H27,BDD!$Y:$AT,22,0)))</f>
        <v/>
      </c>
      <c r="O19" t="str">
        <f>IF('Doors order'!I27="","",IF(VLOOKUP('Doors order'!I27,BDD!$Y:$AT,22,0)="","",VLOOKUP('Doors order'!I27,BDD!$Y:$AT,22,0)))</f>
        <v/>
      </c>
      <c r="P19" t="str">
        <f>IF('Doors order'!J27="","",IF(VLOOKUP('Doors order'!J27,BDD!$Y:$AT,22,0)="","",VLOOKUP('Doors order'!J27,BDD!$Y:$AT,22,0)))</f>
        <v/>
      </c>
      <c r="Q19" t="str">
        <f>IF('Doors order'!G27="","",IF(VLOOKUP('Doors order'!G27,BDD!$Y:$AE,7,0)=1,"TRUE","FALSE"))</f>
        <v/>
      </c>
      <c r="R19" t="str">
        <f>IF('Doors order'!H27="","",IF(VLOOKUP('Doors order'!H27,BDD!$Y:$AE,7,0)=1,"TRUE","FALSE"))</f>
        <v/>
      </c>
      <c r="S19" t="str">
        <f>IF('Doors order'!I27="","",IF(VLOOKUP('Doors order'!I27,BDD!$Y:$AE,7,0)=1,"TRUE","FALSE"))</f>
        <v/>
      </c>
      <c r="T19" s="418" t="str">
        <f>IF('Doors order'!J27="","",IF(VLOOKUP('Doors order'!J27,BDD!$Y:$AE,7,0)=1,"TRUE","FALSE"))</f>
        <v/>
      </c>
    </row>
    <row r="20" spans="1:20" x14ac:dyDescent="0.25">
      <c r="A20" s="422" t="str">
        <f>IF(B20="","",IF(C20="","",IF('Doors order'!$G$7="","",RIGHT(CONCATENATE("000000",'Doors order'!$G$7), 6))))</f>
        <v/>
      </c>
      <c r="B20" t="str">
        <f>IF(C20="","",IF('Doors order'!$A$7="","",'Doors order'!$A$7))</f>
        <v/>
      </c>
      <c r="C20" s="64" t="str">
        <f>IF(D20="","",IF('Doors order'!$K$7="","",'Doors order'!$K$7))</f>
        <v/>
      </c>
      <c r="D20" t="str">
        <f>IF(E20="","",IF('Doors order'!F28="Finger Pull",IF(E20=BDD!$AK$122,BDD!$AK$127,BDD!$AK$126),IF(E20=BDD!$AK$122,BDD!$AK$116,BDD!$AK$117)))</f>
        <v/>
      </c>
      <c r="E20" t="str">
        <f>IF('Doors order'!E28="","",IF(VLOOKUP('Doors order'!E28,BDD!B:AJ,35,0)=1,BDD!$AK$118,IF(VLOOKUP('Doors order'!E28,BDD!B:AJ,35,0)=2,BDD!$AK$120,IF(VLOOKUP('Doors order'!E28,BDD!B:AJ,35,0)=3,BDD!$AK$119,IF(VLOOKUP('Doors order'!E28,BDD!B:AJ,35,0)=4,BDD!$AK$121,IF(VLOOKUP('Doors order'!E28,BDD!B:AJ,35,0)=5,BDD!$AK$122))))))</f>
        <v/>
      </c>
      <c r="F20" t="str">
        <f>IF('Doors order'!E28="","",IF(VLOOKUP('Doors order'!E28,BDD!B:AQ,42,0)="","",VLOOKUP('Doors order'!E28,BDD!B:AQ,42,0)))</f>
        <v/>
      </c>
      <c r="G20" t="str">
        <f>IF('Doors order'!B28="","",'Doors order'!B28)</f>
        <v/>
      </c>
      <c r="H20" t="str">
        <f>IF('Doors order'!C28="","",IF('Doors order'!$N$7="mm",'Doors order'!C28/25.4,'Doors order'!C28))</f>
        <v/>
      </c>
      <c r="I20" t="str">
        <f>IF('Doors order'!D28="","",IF('Doors order'!$N$7="mm",'Doors order'!D28/25.4,'Doors order'!D28))</f>
        <v/>
      </c>
      <c r="J20" t="str">
        <f>IF('Doors order'!E28="","",18)</f>
        <v/>
      </c>
      <c r="K20" t="str">
        <f>IF('Doors order'!F28="","",IF('Doors order'!F28="no grain",0,IF('Doors order'!F28="vertical",1,IF('Doors order'!F28="horizontal",2,IF('Doors order'!F28="ver.sequenced",1,IF('Doors order'!F28="hor.sequenced",2,0))))))</f>
        <v/>
      </c>
      <c r="L20" t="str">
        <f>IF('Doors order'!F28="","",IF('Doors order'!F28="no grain",0,IF('Doors order'!F28="vertical",0,IF('Doors order'!F28="horizontal",0,IF('Doors order'!F28="ver.sequenced",1,IF('Doors order'!F28="hor.sequenced",2,0))))))</f>
        <v/>
      </c>
      <c r="M20" t="str">
        <f>IF('Doors order'!G28="","",IF(VLOOKUP('Doors order'!G28,BDD!$Y:$AT,22,0)="","",VLOOKUP('Doors order'!G28,BDD!$Y:$AT,22,0)))</f>
        <v/>
      </c>
      <c r="N20" t="str">
        <f>IF('Doors order'!H28="","",IF(VLOOKUP('Doors order'!H28,BDD!$Y:$AT,22,0)="","",VLOOKUP('Doors order'!H28,BDD!$Y:$AT,22,0)))</f>
        <v/>
      </c>
      <c r="O20" t="str">
        <f>IF('Doors order'!I28="","",IF(VLOOKUP('Doors order'!I28,BDD!$Y:$AT,22,0)="","",VLOOKUP('Doors order'!I28,BDD!$Y:$AT,22,0)))</f>
        <v/>
      </c>
      <c r="P20" t="str">
        <f>IF('Doors order'!J28="","",IF(VLOOKUP('Doors order'!J28,BDD!$Y:$AT,22,0)="","",VLOOKUP('Doors order'!J28,BDD!$Y:$AT,22,0)))</f>
        <v/>
      </c>
      <c r="Q20" t="str">
        <f>IF('Doors order'!G28="","",IF(VLOOKUP('Doors order'!G28,BDD!$Y:$AE,7,0)=1,"TRUE","FALSE"))</f>
        <v/>
      </c>
      <c r="R20" t="str">
        <f>IF('Doors order'!H28="","",IF(VLOOKUP('Doors order'!H28,BDD!$Y:$AE,7,0)=1,"TRUE","FALSE"))</f>
        <v/>
      </c>
      <c r="S20" t="str">
        <f>IF('Doors order'!I28="","",IF(VLOOKUP('Doors order'!I28,BDD!$Y:$AE,7,0)=1,"TRUE","FALSE"))</f>
        <v/>
      </c>
      <c r="T20" s="418" t="str">
        <f>IF('Doors order'!J28="","",IF(VLOOKUP('Doors order'!J28,BDD!$Y:$AE,7,0)=1,"TRUE","FALSE"))</f>
        <v/>
      </c>
    </row>
    <row r="21" spans="1:20" x14ac:dyDescent="0.25">
      <c r="A21" s="422" t="str">
        <f>IF(B21="","",IF(C21="","",IF('Doors order'!$G$7="","",RIGHT(CONCATENATE("000000",'Doors order'!$G$7), 6))))</f>
        <v/>
      </c>
      <c r="B21" t="str">
        <f>IF(C21="","",IF('Doors order'!$A$7="","",'Doors order'!$A$7))</f>
        <v/>
      </c>
      <c r="C21" s="64" t="str">
        <f>IF(D21="","",IF('Doors order'!$K$7="","",'Doors order'!$K$7))</f>
        <v/>
      </c>
      <c r="D21" t="str">
        <f>IF(E21="","",IF('Doors order'!F29="Finger Pull",IF(E21=BDD!$AK$122,BDD!$AK$127,BDD!$AK$126),IF(E21=BDD!$AK$122,BDD!$AK$116,BDD!$AK$117)))</f>
        <v/>
      </c>
      <c r="E21" t="str">
        <f>IF('Doors order'!E29="","",IF(VLOOKUP('Doors order'!E29,BDD!B:AJ,35,0)=1,BDD!$AK$118,IF(VLOOKUP('Doors order'!E29,BDD!B:AJ,35,0)=2,BDD!$AK$120,IF(VLOOKUP('Doors order'!E29,BDD!B:AJ,35,0)=3,BDD!$AK$119,IF(VLOOKUP('Doors order'!E29,BDD!B:AJ,35,0)=4,BDD!$AK$121,IF(VLOOKUP('Doors order'!E29,BDD!B:AJ,35,0)=5,BDD!$AK$122))))))</f>
        <v/>
      </c>
      <c r="F21" t="str">
        <f>IF('Doors order'!E29="","",IF(VLOOKUP('Doors order'!E29,BDD!B:AQ,42,0)="","",VLOOKUP('Doors order'!E29,BDD!B:AQ,42,0)))</f>
        <v/>
      </c>
      <c r="G21" t="str">
        <f>IF('Doors order'!B29="","",'Doors order'!B29)</f>
        <v/>
      </c>
      <c r="H21" t="str">
        <f>IF('Doors order'!C29="","",IF('Doors order'!$N$7="mm",'Doors order'!C29/25.4,'Doors order'!C29))</f>
        <v/>
      </c>
      <c r="I21" t="str">
        <f>IF('Doors order'!D29="","",IF('Doors order'!$N$7="mm",'Doors order'!D29/25.4,'Doors order'!D29))</f>
        <v/>
      </c>
      <c r="J21" t="str">
        <f>IF('Doors order'!E29="","",18)</f>
        <v/>
      </c>
      <c r="K21" t="str">
        <f>IF('Doors order'!F29="","",IF('Doors order'!F29="no grain",0,IF('Doors order'!F29="vertical",1,IF('Doors order'!F29="horizontal",2,IF('Doors order'!F29="ver.sequenced",1,IF('Doors order'!F29="hor.sequenced",2,0))))))</f>
        <v/>
      </c>
      <c r="L21" t="str">
        <f>IF('Doors order'!F29="","",IF('Doors order'!F29="no grain",0,IF('Doors order'!F29="vertical",0,IF('Doors order'!F29="horizontal",0,IF('Doors order'!F29="ver.sequenced",1,IF('Doors order'!F29="hor.sequenced",2,0))))))</f>
        <v/>
      </c>
      <c r="M21" t="str">
        <f>IF('Doors order'!G29="","",IF(VLOOKUP('Doors order'!G29,BDD!$Y:$AT,22,0)="","",VLOOKUP('Doors order'!G29,BDD!$Y:$AT,22,0)))</f>
        <v/>
      </c>
      <c r="N21" t="str">
        <f>IF('Doors order'!H29="","",IF(VLOOKUP('Doors order'!H29,BDD!$Y:$AT,22,0)="","",VLOOKUP('Doors order'!H29,BDD!$Y:$AT,22,0)))</f>
        <v/>
      </c>
      <c r="O21" t="str">
        <f>IF('Doors order'!I29="","",IF(VLOOKUP('Doors order'!I29,BDD!$Y:$AT,22,0)="","",VLOOKUP('Doors order'!I29,BDD!$Y:$AT,22,0)))</f>
        <v/>
      </c>
      <c r="P21" t="str">
        <f>IF('Doors order'!J29="","",IF(VLOOKUP('Doors order'!J29,BDD!$Y:$AT,22,0)="","",VLOOKUP('Doors order'!J29,BDD!$Y:$AT,22,0)))</f>
        <v/>
      </c>
      <c r="Q21" t="str">
        <f>IF('Doors order'!G29="","",IF(VLOOKUP('Doors order'!G29,BDD!$Y:$AE,7,0)=1,"TRUE","FALSE"))</f>
        <v/>
      </c>
      <c r="R21" t="str">
        <f>IF('Doors order'!H29="","",IF(VLOOKUP('Doors order'!H29,BDD!$Y:$AE,7,0)=1,"TRUE","FALSE"))</f>
        <v/>
      </c>
      <c r="S21" t="str">
        <f>IF('Doors order'!I29="","",IF(VLOOKUP('Doors order'!I29,BDD!$Y:$AE,7,0)=1,"TRUE","FALSE"))</f>
        <v/>
      </c>
      <c r="T21" s="418" t="str">
        <f>IF('Doors order'!J29="","",IF(VLOOKUP('Doors order'!J29,BDD!$Y:$AE,7,0)=1,"TRUE","FALSE"))</f>
        <v/>
      </c>
    </row>
    <row r="22" spans="1:20" x14ac:dyDescent="0.25">
      <c r="A22" s="422" t="str">
        <f>IF(B22="","",IF(C22="","",IF('Doors order'!$G$7="","",RIGHT(CONCATENATE("000000",'Doors order'!$G$7), 6))))</f>
        <v/>
      </c>
      <c r="B22" t="str">
        <f>IF(C22="","",IF('Doors order'!$A$7="","",'Doors order'!$A$7))</f>
        <v/>
      </c>
      <c r="C22" s="64" t="str">
        <f>IF(D22="","",IF('Doors order'!$K$7="","",'Doors order'!$K$7))</f>
        <v/>
      </c>
      <c r="D22" t="str">
        <f>IF(E22="","",IF('Doors order'!F30="Finger Pull",IF(E22=BDD!$AK$122,BDD!$AK$127,BDD!$AK$126),IF(E22=BDD!$AK$122,BDD!$AK$116,BDD!$AK$117)))</f>
        <v/>
      </c>
      <c r="E22" t="str">
        <f>IF('Doors order'!E30="","",IF(VLOOKUP('Doors order'!E30,BDD!B:AJ,35,0)=1,BDD!$AK$118,IF(VLOOKUP('Doors order'!E30,BDD!B:AJ,35,0)=2,BDD!$AK$120,IF(VLOOKUP('Doors order'!E30,BDD!B:AJ,35,0)=3,BDD!$AK$119,IF(VLOOKUP('Doors order'!E30,BDD!B:AJ,35,0)=4,BDD!$AK$121,IF(VLOOKUP('Doors order'!E30,BDD!B:AJ,35,0)=5,BDD!$AK$122))))))</f>
        <v/>
      </c>
      <c r="F22" t="str">
        <f>IF('Doors order'!E30="","",IF(VLOOKUP('Doors order'!E30,BDD!B:AQ,42,0)="","",VLOOKUP('Doors order'!E30,BDD!B:AQ,42,0)))</f>
        <v/>
      </c>
      <c r="G22" t="str">
        <f>IF('Doors order'!B30="","",'Doors order'!B30)</f>
        <v/>
      </c>
      <c r="H22" t="str">
        <f>IF('Doors order'!C30="","",IF('Doors order'!$N$7="mm",'Doors order'!C30/25.4,'Doors order'!C30))</f>
        <v/>
      </c>
      <c r="I22" t="str">
        <f>IF('Doors order'!D30="","",IF('Doors order'!$N$7="mm",'Doors order'!D30/25.4,'Doors order'!D30))</f>
        <v/>
      </c>
      <c r="J22" t="str">
        <f>IF('Doors order'!E30="","",18)</f>
        <v/>
      </c>
      <c r="K22" t="str">
        <f>IF('Doors order'!F30="","",IF('Doors order'!F30="no grain",0,IF('Doors order'!F30="vertical",1,IF('Doors order'!F30="horizontal",2,IF('Doors order'!F30="ver.sequenced",1,IF('Doors order'!F30="hor.sequenced",2,0))))))</f>
        <v/>
      </c>
      <c r="L22" t="str">
        <f>IF('Doors order'!F30="","",IF('Doors order'!F30="no grain",0,IF('Doors order'!F30="vertical",0,IF('Doors order'!F30="horizontal",0,IF('Doors order'!F30="ver.sequenced",1,IF('Doors order'!F30="hor.sequenced",2,0))))))</f>
        <v/>
      </c>
      <c r="M22" t="str">
        <f>IF('Doors order'!G30="","",IF(VLOOKUP('Doors order'!G30,BDD!$Y:$AT,22,0)="","",VLOOKUP('Doors order'!G30,BDD!$Y:$AT,22,0)))</f>
        <v/>
      </c>
      <c r="N22" t="str">
        <f>IF('Doors order'!H30="","",IF(VLOOKUP('Doors order'!H30,BDD!$Y:$AT,22,0)="","",VLOOKUP('Doors order'!H30,BDD!$Y:$AT,22,0)))</f>
        <v/>
      </c>
      <c r="O22" t="str">
        <f>IF('Doors order'!I30="","",IF(VLOOKUP('Doors order'!I30,BDD!$Y:$AT,22,0)="","",VLOOKUP('Doors order'!I30,BDD!$Y:$AT,22,0)))</f>
        <v/>
      </c>
      <c r="P22" t="str">
        <f>IF('Doors order'!J30="","",IF(VLOOKUP('Doors order'!J30,BDD!$Y:$AT,22,0)="","",VLOOKUP('Doors order'!J30,BDD!$Y:$AT,22,0)))</f>
        <v/>
      </c>
      <c r="Q22" t="str">
        <f>IF('Doors order'!G30="","",IF(VLOOKUP('Doors order'!G30,BDD!$Y:$AE,7,0)=1,"TRUE","FALSE"))</f>
        <v/>
      </c>
      <c r="R22" t="str">
        <f>IF('Doors order'!H30="","",IF(VLOOKUP('Doors order'!H30,BDD!$Y:$AE,7,0)=1,"TRUE","FALSE"))</f>
        <v/>
      </c>
      <c r="S22" t="str">
        <f>IF('Doors order'!I30="","",IF(VLOOKUP('Doors order'!I30,BDD!$Y:$AE,7,0)=1,"TRUE","FALSE"))</f>
        <v/>
      </c>
      <c r="T22" s="418" t="str">
        <f>IF('Doors order'!J30="","",IF(VLOOKUP('Doors order'!J30,BDD!$Y:$AE,7,0)=1,"TRUE","FALSE"))</f>
        <v/>
      </c>
    </row>
    <row r="23" spans="1:20" x14ac:dyDescent="0.25">
      <c r="A23" s="422" t="str">
        <f>IF(B23="","",IF(C23="","",IF('Doors order'!$G$7="","",RIGHT(CONCATENATE("000000",'Doors order'!$G$7), 6))))</f>
        <v/>
      </c>
      <c r="B23" t="str">
        <f>IF(C23="","",IF('Doors order'!$A$7="","",'Doors order'!$A$7))</f>
        <v/>
      </c>
      <c r="C23" s="64" t="str">
        <f>IF(D23="","",IF('Doors order'!$K$7="","",'Doors order'!$K$7))</f>
        <v/>
      </c>
      <c r="D23" t="str">
        <f>IF(E23="","",IF('Doors order'!F31="Finger Pull",IF(E23=BDD!$AK$122,BDD!$AK$127,BDD!$AK$126),IF(E23=BDD!$AK$122,BDD!$AK$116,BDD!$AK$117)))</f>
        <v/>
      </c>
      <c r="E23" t="str">
        <f>IF('Doors order'!E31="","",IF(VLOOKUP('Doors order'!E31,BDD!B:AJ,35,0)=1,BDD!$AK$118,IF(VLOOKUP('Doors order'!E31,BDD!B:AJ,35,0)=2,BDD!$AK$120,IF(VLOOKUP('Doors order'!E31,BDD!B:AJ,35,0)=3,BDD!$AK$119,IF(VLOOKUP('Doors order'!E31,BDD!B:AJ,35,0)=4,BDD!$AK$121,IF(VLOOKUP('Doors order'!E31,BDD!B:AJ,35,0)=5,BDD!$AK$122))))))</f>
        <v/>
      </c>
      <c r="F23" t="str">
        <f>IF('Doors order'!E31="","",IF(VLOOKUP('Doors order'!E31,BDD!B:AQ,42,0)="","",VLOOKUP('Doors order'!E31,BDD!B:AQ,42,0)))</f>
        <v/>
      </c>
      <c r="G23" t="str">
        <f>IF('Doors order'!B31="","",'Doors order'!B31)</f>
        <v/>
      </c>
      <c r="H23" t="str">
        <f>IF('Doors order'!C31="","",IF('Doors order'!$N$7="mm",'Doors order'!C31/25.4,'Doors order'!C31))</f>
        <v/>
      </c>
      <c r="I23" t="str">
        <f>IF('Doors order'!D31="","",IF('Doors order'!$N$7="mm",'Doors order'!D31/25.4,'Doors order'!D31))</f>
        <v/>
      </c>
      <c r="J23" t="str">
        <f>IF('Doors order'!E31="","",18)</f>
        <v/>
      </c>
      <c r="K23" t="str">
        <f>IF('Doors order'!F31="","",IF('Doors order'!F31="no grain",0,IF('Doors order'!F31="vertical",1,IF('Doors order'!F31="horizontal",2,IF('Doors order'!F31="ver.sequenced",1,IF('Doors order'!F31="hor.sequenced",2,0))))))</f>
        <v/>
      </c>
      <c r="L23" t="str">
        <f>IF('Doors order'!F31="","",IF('Doors order'!F31="no grain",0,IF('Doors order'!F31="vertical",0,IF('Doors order'!F31="horizontal",0,IF('Doors order'!F31="ver.sequenced",1,IF('Doors order'!F31="hor.sequenced",2,0))))))</f>
        <v/>
      </c>
      <c r="M23" t="str">
        <f>IF('Doors order'!G31="","",IF(VLOOKUP('Doors order'!G31,BDD!$Y:$AT,22,0)="","",VLOOKUP('Doors order'!G31,BDD!$Y:$AT,22,0)))</f>
        <v/>
      </c>
      <c r="N23" t="str">
        <f>IF('Doors order'!H31="","",IF(VLOOKUP('Doors order'!H31,BDD!$Y:$AT,22,0)="","",VLOOKUP('Doors order'!H31,BDD!$Y:$AT,22,0)))</f>
        <v/>
      </c>
      <c r="O23" t="str">
        <f>IF('Doors order'!I31="","",IF(VLOOKUP('Doors order'!I31,BDD!$Y:$AT,22,0)="","",VLOOKUP('Doors order'!I31,BDD!$Y:$AT,22,0)))</f>
        <v/>
      </c>
      <c r="P23" t="str">
        <f>IF('Doors order'!J31="","",IF(VLOOKUP('Doors order'!J31,BDD!$Y:$AT,22,0)="","",VLOOKUP('Doors order'!J31,BDD!$Y:$AT,22,0)))</f>
        <v/>
      </c>
      <c r="Q23" t="str">
        <f>IF('Doors order'!G31="","",IF(VLOOKUP('Doors order'!G31,BDD!$Y:$AE,7,0)=1,"TRUE","FALSE"))</f>
        <v/>
      </c>
      <c r="R23" t="str">
        <f>IF('Doors order'!H31="","",IF(VLOOKUP('Doors order'!H31,BDD!$Y:$AE,7,0)=1,"TRUE","FALSE"))</f>
        <v/>
      </c>
      <c r="S23" t="str">
        <f>IF('Doors order'!I31="","",IF(VLOOKUP('Doors order'!I31,BDD!$Y:$AE,7,0)=1,"TRUE","FALSE"))</f>
        <v/>
      </c>
      <c r="T23" s="418" t="str">
        <f>IF('Doors order'!J31="","",IF(VLOOKUP('Doors order'!J31,BDD!$Y:$AE,7,0)=1,"TRUE","FALSE"))</f>
        <v/>
      </c>
    </row>
    <row r="24" spans="1:20" x14ac:dyDescent="0.25">
      <c r="A24" s="422" t="str">
        <f>IF(B24="","",IF(C24="","",IF('Doors order'!$G$7="","",RIGHT(CONCATENATE("000000",'Doors order'!$G$7), 6))))</f>
        <v/>
      </c>
      <c r="B24" t="str">
        <f>IF(C24="","",IF('Doors order'!$A$7="","",'Doors order'!$A$7))</f>
        <v/>
      </c>
      <c r="C24" s="64" t="str">
        <f>IF(D24="","",IF('Doors order'!$K$7="","",'Doors order'!$K$7))</f>
        <v/>
      </c>
      <c r="D24" t="str">
        <f>IF(E24="","",IF('Doors order'!F32="Finger Pull",IF(E24=BDD!$AK$122,BDD!$AK$127,BDD!$AK$126),IF(E24=BDD!$AK$122,BDD!$AK$116,BDD!$AK$117)))</f>
        <v/>
      </c>
      <c r="E24" t="str">
        <f>IF('Doors order'!E32="","",IF(VLOOKUP('Doors order'!E32,BDD!B:AJ,35,0)=1,BDD!$AK$118,IF(VLOOKUP('Doors order'!E32,BDD!B:AJ,35,0)=2,BDD!$AK$120,IF(VLOOKUP('Doors order'!E32,BDD!B:AJ,35,0)=3,BDD!$AK$119,IF(VLOOKUP('Doors order'!E32,BDD!B:AJ,35,0)=4,BDD!$AK$121,IF(VLOOKUP('Doors order'!E32,BDD!B:AJ,35,0)=5,BDD!$AK$122))))))</f>
        <v/>
      </c>
      <c r="F24" t="str">
        <f>IF('Doors order'!E32="","",IF(VLOOKUP('Doors order'!E32,BDD!B:AQ,42,0)="","",VLOOKUP('Doors order'!E32,BDD!B:AQ,42,0)))</f>
        <v/>
      </c>
      <c r="G24" t="str">
        <f>IF('Doors order'!B32="","",'Doors order'!B32)</f>
        <v/>
      </c>
      <c r="H24" t="str">
        <f>IF('Doors order'!C32="","",IF('Doors order'!$N$7="mm",'Doors order'!C32/25.4,'Doors order'!C32))</f>
        <v/>
      </c>
      <c r="I24" t="str">
        <f>IF('Doors order'!D32="","",IF('Doors order'!$N$7="mm",'Doors order'!D32/25.4,'Doors order'!D32))</f>
        <v/>
      </c>
      <c r="J24" t="str">
        <f>IF('Doors order'!E32="","",18)</f>
        <v/>
      </c>
      <c r="K24" t="str">
        <f>IF('Doors order'!F32="","",IF('Doors order'!F32="no grain",0,IF('Doors order'!F32="vertical",1,IF('Doors order'!F32="horizontal",2,IF('Doors order'!F32="ver.sequenced",1,IF('Doors order'!F32="hor.sequenced",2,0))))))</f>
        <v/>
      </c>
      <c r="L24" t="str">
        <f>IF('Doors order'!F32="","",IF('Doors order'!F32="no grain",0,IF('Doors order'!F32="vertical",0,IF('Doors order'!F32="horizontal",0,IF('Doors order'!F32="ver.sequenced",1,IF('Doors order'!F32="hor.sequenced",2,0))))))</f>
        <v/>
      </c>
      <c r="M24" t="str">
        <f>IF('Doors order'!G32="","",IF(VLOOKUP('Doors order'!G32,BDD!$Y:$AT,22,0)="","",VLOOKUP('Doors order'!G32,BDD!$Y:$AT,22,0)))</f>
        <v/>
      </c>
      <c r="N24" t="str">
        <f>IF('Doors order'!H32="","",IF(VLOOKUP('Doors order'!H32,BDD!$Y:$AT,22,0)="","",VLOOKUP('Doors order'!H32,BDD!$Y:$AT,22,0)))</f>
        <v/>
      </c>
      <c r="O24" t="str">
        <f>IF('Doors order'!I32="","",IF(VLOOKUP('Doors order'!I32,BDD!$Y:$AT,22,0)="","",VLOOKUP('Doors order'!I32,BDD!$Y:$AT,22,0)))</f>
        <v/>
      </c>
      <c r="P24" t="str">
        <f>IF('Doors order'!J32="","",IF(VLOOKUP('Doors order'!J32,BDD!$Y:$AT,22,0)="","",VLOOKUP('Doors order'!J32,BDD!$Y:$AT,22,0)))</f>
        <v/>
      </c>
      <c r="Q24" t="str">
        <f>IF('Doors order'!G32="","",IF(VLOOKUP('Doors order'!G32,BDD!$Y:$AE,7,0)=1,"TRUE","FALSE"))</f>
        <v/>
      </c>
      <c r="R24" t="str">
        <f>IF('Doors order'!H32="","",IF(VLOOKUP('Doors order'!H32,BDD!$Y:$AE,7,0)=1,"TRUE","FALSE"))</f>
        <v/>
      </c>
      <c r="S24" t="str">
        <f>IF('Doors order'!I32="","",IF(VLOOKUP('Doors order'!I32,BDD!$Y:$AE,7,0)=1,"TRUE","FALSE"))</f>
        <v/>
      </c>
      <c r="T24" s="418" t="str">
        <f>IF('Doors order'!J32="","",IF(VLOOKUP('Doors order'!J32,BDD!$Y:$AE,7,0)=1,"TRUE","FALSE"))</f>
        <v/>
      </c>
    </row>
    <row r="25" spans="1:20" x14ac:dyDescent="0.25">
      <c r="A25" s="422" t="str">
        <f>IF(B25="","",IF(C25="","",IF('Doors order'!$G$7="","",RIGHT(CONCATENATE("000000",'Doors order'!$G$7), 6))))</f>
        <v/>
      </c>
      <c r="B25" t="str">
        <f>IF(C25="","",IF('Doors order'!$A$7="","",'Doors order'!$A$7))</f>
        <v/>
      </c>
      <c r="C25" s="64" t="str">
        <f>IF(D25="","",IF('Doors order'!$K$7="","",'Doors order'!$K$7))</f>
        <v/>
      </c>
      <c r="D25" t="str">
        <f>IF(E25="","",IF('Doors order'!F33="Finger Pull",IF(E25=BDD!$AK$122,BDD!$AK$127,BDD!$AK$126),IF(E25=BDD!$AK$122,BDD!$AK$116,BDD!$AK$117)))</f>
        <v/>
      </c>
      <c r="E25" t="str">
        <f>IF('Doors order'!E33="","",IF(VLOOKUP('Doors order'!E33,BDD!B:AJ,35,0)=1,BDD!$AK$118,IF(VLOOKUP('Doors order'!E33,BDD!B:AJ,35,0)=2,BDD!$AK$120,IF(VLOOKUP('Doors order'!E33,BDD!B:AJ,35,0)=3,BDD!$AK$119,IF(VLOOKUP('Doors order'!E33,BDD!B:AJ,35,0)=4,BDD!$AK$121,IF(VLOOKUP('Doors order'!E33,BDD!B:AJ,35,0)=5,BDD!$AK$122))))))</f>
        <v/>
      </c>
      <c r="F25" t="str">
        <f>IF('Doors order'!E33="","",IF(VLOOKUP('Doors order'!E33,BDD!B:AQ,42,0)="","",VLOOKUP('Doors order'!E33,BDD!B:AQ,42,0)))</f>
        <v/>
      </c>
      <c r="G25" t="str">
        <f>IF('Doors order'!B33="","",'Doors order'!B33)</f>
        <v/>
      </c>
      <c r="H25" t="str">
        <f>IF('Doors order'!C33="","",IF('Doors order'!$N$7="mm",'Doors order'!C33/25.4,'Doors order'!C33))</f>
        <v/>
      </c>
      <c r="I25" t="str">
        <f>IF('Doors order'!D33="","",IF('Doors order'!$N$7="mm",'Doors order'!D33/25.4,'Doors order'!D33))</f>
        <v/>
      </c>
      <c r="J25" t="str">
        <f>IF('Doors order'!E33="","",18)</f>
        <v/>
      </c>
      <c r="K25" t="str">
        <f>IF('Doors order'!F33="","",IF('Doors order'!F33="no grain",0,IF('Doors order'!F33="vertical",1,IF('Doors order'!F33="horizontal",2,IF('Doors order'!F33="ver.sequenced",1,IF('Doors order'!F33="hor.sequenced",2,0))))))</f>
        <v/>
      </c>
      <c r="L25" t="str">
        <f>IF('Doors order'!F33="","",IF('Doors order'!F33="no grain",0,IF('Doors order'!F33="vertical",0,IF('Doors order'!F33="horizontal",0,IF('Doors order'!F33="ver.sequenced",1,IF('Doors order'!F33="hor.sequenced",2,0))))))</f>
        <v/>
      </c>
      <c r="M25" t="str">
        <f>IF('Doors order'!G33="","",IF(VLOOKUP('Doors order'!G33,BDD!$Y:$AT,22,0)="","",VLOOKUP('Doors order'!G33,BDD!$Y:$AT,22,0)))</f>
        <v/>
      </c>
      <c r="N25" t="str">
        <f>IF('Doors order'!H33="","",IF(VLOOKUP('Doors order'!H33,BDD!$Y:$AT,22,0)="","",VLOOKUP('Doors order'!H33,BDD!$Y:$AT,22,0)))</f>
        <v/>
      </c>
      <c r="O25" t="str">
        <f>IF('Doors order'!I33="","",IF(VLOOKUP('Doors order'!I33,BDD!$Y:$AT,22,0)="","",VLOOKUP('Doors order'!I33,BDD!$Y:$AT,22,0)))</f>
        <v/>
      </c>
      <c r="P25" t="str">
        <f>IF('Doors order'!J33="","",IF(VLOOKUP('Doors order'!J33,BDD!$Y:$AT,22,0)="","",VLOOKUP('Doors order'!J33,BDD!$Y:$AT,22,0)))</f>
        <v/>
      </c>
      <c r="Q25" t="str">
        <f>IF('Doors order'!G33="","",IF(VLOOKUP('Doors order'!G33,BDD!$Y:$AE,7,0)=1,"TRUE","FALSE"))</f>
        <v/>
      </c>
      <c r="R25" t="str">
        <f>IF('Doors order'!H33="","",IF(VLOOKUP('Doors order'!H33,BDD!$Y:$AE,7,0)=1,"TRUE","FALSE"))</f>
        <v/>
      </c>
      <c r="S25" t="str">
        <f>IF('Doors order'!I33="","",IF(VLOOKUP('Doors order'!I33,BDD!$Y:$AE,7,0)=1,"TRUE","FALSE"))</f>
        <v/>
      </c>
      <c r="T25" s="418" t="str">
        <f>IF('Doors order'!J33="","",IF(VLOOKUP('Doors order'!J33,BDD!$Y:$AE,7,0)=1,"TRUE","FALSE"))</f>
        <v/>
      </c>
    </row>
    <row r="26" spans="1:20" x14ac:dyDescent="0.25">
      <c r="A26" s="422" t="str">
        <f>IF(B26="","",IF(C26="","",IF('Doors order'!$G$7="","",RIGHT(CONCATENATE("000000",'Doors order'!$G$7), 6))))</f>
        <v/>
      </c>
      <c r="B26" t="str">
        <f>IF(C26="","",IF('Doors order'!$A$7="","",'Doors order'!$A$7))</f>
        <v/>
      </c>
      <c r="C26" s="64" t="str">
        <f>IF(D26="","",IF('Doors order'!$K$7="","",'Doors order'!$K$7))</f>
        <v/>
      </c>
      <c r="D26" t="str">
        <f>IF(E26="","",IF('Doors order'!F34="Finger Pull",IF(E26=BDD!$AK$122,BDD!$AK$127,BDD!$AK$126),IF(E26=BDD!$AK$122,BDD!$AK$116,BDD!$AK$117)))</f>
        <v/>
      </c>
      <c r="E26" t="str">
        <f>IF('Doors order'!E34="","",IF(VLOOKUP('Doors order'!E34,BDD!B:AJ,35,0)=1,BDD!$AK$118,IF(VLOOKUP('Doors order'!E34,BDD!B:AJ,35,0)=2,BDD!$AK$120,IF(VLOOKUP('Doors order'!E34,BDD!B:AJ,35,0)=3,BDD!$AK$119,IF(VLOOKUP('Doors order'!E34,BDD!B:AJ,35,0)=4,BDD!$AK$121,IF(VLOOKUP('Doors order'!E34,BDD!B:AJ,35,0)=5,BDD!$AK$122))))))</f>
        <v/>
      </c>
      <c r="F26" t="str">
        <f>IF('Doors order'!E34="","",IF(VLOOKUP('Doors order'!E34,BDD!B:AQ,42,0)="","",VLOOKUP('Doors order'!E34,BDD!B:AQ,42,0)))</f>
        <v/>
      </c>
      <c r="G26" t="str">
        <f>IF('Doors order'!B34="","",'Doors order'!B34)</f>
        <v/>
      </c>
      <c r="H26" t="str">
        <f>IF('Doors order'!C34="","",IF('Doors order'!$N$7="mm",'Doors order'!C34/25.4,'Doors order'!C34))</f>
        <v/>
      </c>
      <c r="I26" t="str">
        <f>IF('Doors order'!D34="","",IF('Doors order'!$N$7="mm",'Doors order'!D34/25.4,'Doors order'!D34))</f>
        <v/>
      </c>
      <c r="J26" t="str">
        <f>IF('Doors order'!E34="","",18)</f>
        <v/>
      </c>
      <c r="K26" t="str">
        <f>IF('Doors order'!F34="","",IF('Doors order'!F34="no grain",0,IF('Doors order'!F34="vertical",1,IF('Doors order'!F34="horizontal",2,IF('Doors order'!F34="ver.sequenced",1,IF('Doors order'!F34="hor.sequenced",2,0))))))</f>
        <v/>
      </c>
      <c r="L26" t="str">
        <f>IF('Doors order'!F34="","",IF('Doors order'!F34="no grain",0,IF('Doors order'!F34="vertical",0,IF('Doors order'!F34="horizontal",0,IF('Doors order'!F34="ver.sequenced",1,IF('Doors order'!F34="hor.sequenced",2,0))))))</f>
        <v/>
      </c>
      <c r="M26" t="str">
        <f>IF('Doors order'!G34="","",IF(VLOOKUP('Doors order'!G34,BDD!$Y:$AT,22,0)="","",VLOOKUP('Doors order'!G34,BDD!$Y:$AT,22,0)))</f>
        <v/>
      </c>
      <c r="N26" t="str">
        <f>IF('Doors order'!H34="","",IF(VLOOKUP('Doors order'!H34,BDD!$Y:$AT,22,0)="","",VLOOKUP('Doors order'!H34,BDD!$Y:$AT,22,0)))</f>
        <v/>
      </c>
      <c r="O26" t="str">
        <f>IF('Doors order'!I34="","",IF(VLOOKUP('Doors order'!I34,BDD!$Y:$AT,22,0)="","",VLOOKUP('Doors order'!I34,BDD!$Y:$AT,22,0)))</f>
        <v/>
      </c>
      <c r="P26" t="str">
        <f>IF('Doors order'!J34="","",IF(VLOOKUP('Doors order'!J34,BDD!$Y:$AT,22,0)="","",VLOOKUP('Doors order'!J34,BDD!$Y:$AT,22,0)))</f>
        <v/>
      </c>
      <c r="Q26" t="str">
        <f>IF('Doors order'!G34="","",IF(VLOOKUP('Doors order'!G34,BDD!$Y:$AE,7,0)=1,"TRUE","FALSE"))</f>
        <v/>
      </c>
      <c r="R26" t="str">
        <f>IF('Doors order'!H34="","",IF(VLOOKUP('Doors order'!H34,BDD!$Y:$AE,7,0)=1,"TRUE","FALSE"))</f>
        <v/>
      </c>
      <c r="S26" t="str">
        <f>IF('Doors order'!I34="","",IF(VLOOKUP('Doors order'!I34,BDD!$Y:$AE,7,0)=1,"TRUE","FALSE"))</f>
        <v/>
      </c>
      <c r="T26" s="418" t="str">
        <f>IF('Doors order'!J34="","",IF(VLOOKUP('Doors order'!J34,BDD!$Y:$AE,7,0)=1,"TRUE","FALSE"))</f>
        <v/>
      </c>
    </row>
    <row r="27" spans="1:20" x14ac:dyDescent="0.25">
      <c r="A27" s="422" t="str">
        <f>IF(B27="","",IF(C27="","",IF('Doors order'!$G$7="","",RIGHT(CONCATENATE("000000",'Doors order'!$G$7), 6))))</f>
        <v/>
      </c>
      <c r="B27" t="str">
        <f>IF(C27="","",IF('Doors order'!$A$7="","",'Doors order'!$A$7))</f>
        <v/>
      </c>
      <c r="C27" s="64" t="str">
        <f>IF(D27="","",IF('Doors order'!$K$7="","",'Doors order'!$K$7))</f>
        <v/>
      </c>
      <c r="D27" t="str">
        <f>IF(E27="","",IF('Doors order'!F35="Finger Pull",IF(E27=BDD!$AK$122,BDD!$AK$127,BDD!$AK$126),IF(E27=BDD!$AK$122,BDD!$AK$116,BDD!$AK$117)))</f>
        <v/>
      </c>
      <c r="E27" t="str">
        <f>IF('Doors order'!E35="","",IF(VLOOKUP('Doors order'!E35,BDD!B:AJ,35,0)=1,BDD!$AK$118,IF(VLOOKUP('Doors order'!E35,BDD!B:AJ,35,0)=2,BDD!$AK$120,IF(VLOOKUP('Doors order'!E35,BDD!B:AJ,35,0)=3,BDD!$AK$119,IF(VLOOKUP('Doors order'!E35,BDD!B:AJ,35,0)=4,BDD!$AK$121,IF(VLOOKUP('Doors order'!E35,BDD!B:AJ,35,0)=5,BDD!$AK$122))))))</f>
        <v/>
      </c>
      <c r="F27" t="str">
        <f>IF('Doors order'!E35="","",IF(VLOOKUP('Doors order'!E35,BDD!B:AQ,42,0)="","",VLOOKUP('Doors order'!E35,BDD!B:AQ,42,0)))</f>
        <v/>
      </c>
      <c r="G27" t="str">
        <f>IF('Doors order'!B35="","",'Doors order'!B35)</f>
        <v/>
      </c>
      <c r="H27" t="str">
        <f>IF('Doors order'!C35="","",IF('Doors order'!$N$7="mm",'Doors order'!C35/25.4,'Doors order'!C35))</f>
        <v/>
      </c>
      <c r="I27" t="str">
        <f>IF('Doors order'!D35="","",IF('Doors order'!$N$7="mm",'Doors order'!D35/25.4,'Doors order'!D35))</f>
        <v/>
      </c>
      <c r="J27" t="str">
        <f>IF('Doors order'!E35="","",18)</f>
        <v/>
      </c>
      <c r="K27" t="str">
        <f>IF('Doors order'!F35="","",IF('Doors order'!F35="no grain",0,IF('Doors order'!F35="vertical",1,IF('Doors order'!F35="horizontal",2,IF('Doors order'!F35="ver.sequenced",1,IF('Doors order'!F35="hor.sequenced",2,0))))))</f>
        <v/>
      </c>
      <c r="L27" t="str">
        <f>IF('Doors order'!F35="","",IF('Doors order'!F35="no grain",0,IF('Doors order'!F35="vertical",0,IF('Doors order'!F35="horizontal",0,IF('Doors order'!F35="ver.sequenced",1,IF('Doors order'!F35="hor.sequenced",2,0))))))</f>
        <v/>
      </c>
      <c r="M27" t="str">
        <f>IF('Doors order'!G35="","",IF(VLOOKUP('Doors order'!G35,BDD!$Y:$AT,22,0)="","",VLOOKUP('Doors order'!G35,BDD!$Y:$AT,22,0)))</f>
        <v/>
      </c>
      <c r="N27" t="str">
        <f>IF('Doors order'!H35="","",IF(VLOOKUP('Doors order'!H35,BDD!$Y:$AT,22,0)="","",VLOOKUP('Doors order'!H35,BDD!$Y:$AT,22,0)))</f>
        <v/>
      </c>
      <c r="O27" t="str">
        <f>IF('Doors order'!I35="","",IF(VLOOKUP('Doors order'!I35,BDD!$Y:$AT,22,0)="","",VLOOKUP('Doors order'!I35,BDD!$Y:$AT,22,0)))</f>
        <v/>
      </c>
      <c r="P27" t="str">
        <f>IF('Doors order'!J35="","",IF(VLOOKUP('Doors order'!J35,BDD!$Y:$AT,22,0)="","",VLOOKUP('Doors order'!J35,BDD!$Y:$AT,22,0)))</f>
        <v/>
      </c>
      <c r="Q27" t="str">
        <f>IF('Doors order'!G35="","",IF(VLOOKUP('Doors order'!G35,BDD!$Y:$AE,7,0)=1,"TRUE","FALSE"))</f>
        <v/>
      </c>
      <c r="R27" t="str">
        <f>IF('Doors order'!H35="","",IF(VLOOKUP('Doors order'!H35,BDD!$Y:$AE,7,0)=1,"TRUE","FALSE"))</f>
        <v/>
      </c>
      <c r="S27" t="str">
        <f>IF('Doors order'!I35="","",IF(VLOOKUP('Doors order'!I35,BDD!$Y:$AE,7,0)=1,"TRUE","FALSE"))</f>
        <v/>
      </c>
      <c r="T27" s="418" t="str">
        <f>IF('Doors order'!J35="","",IF(VLOOKUP('Doors order'!J35,BDD!$Y:$AE,7,0)=1,"TRUE","FALSE"))</f>
        <v/>
      </c>
    </row>
    <row r="28" spans="1:20" x14ac:dyDescent="0.25">
      <c r="A28" s="422" t="str">
        <f>IF(B28="","",IF(C28="","",IF('Doors order'!$G$7="","",RIGHT(CONCATENATE("000000",'Doors order'!$G$7), 6))))</f>
        <v/>
      </c>
      <c r="B28" t="str">
        <f>IF(C28="","",IF('Doors order'!$A$7="","",'Doors order'!$A$7))</f>
        <v/>
      </c>
      <c r="C28" s="64" t="str">
        <f>IF(D28="","",IF('Doors order'!$K$7="","",'Doors order'!$K$7))</f>
        <v/>
      </c>
      <c r="D28" t="str">
        <f>IF(E28="","",IF('Doors order'!F36="Finger Pull",IF(E28=BDD!$AK$122,BDD!$AK$127,BDD!$AK$126),IF(E28=BDD!$AK$122,BDD!$AK$116,BDD!$AK$117)))</f>
        <v/>
      </c>
      <c r="E28" t="str">
        <f>IF('Doors order'!E36="","",IF(VLOOKUP('Doors order'!E36,BDD!B:AJ,35,0)=1,BDD!$AK$118,IF(VLOOKUP('Doors order'!E36,BDD!B:AJ,35,0)=2,BDD!$AK$120,IF(VLOOKUP('Doors order'!E36,BDD!B:AJ,35,0)=3,BDD!$AK$119,IF(VLOOKUP('Doors order'!E36,BDD!B:AJ,35,0)=4,BDD!$AK$121,IF(VLOOKUP('Doors order'!E36,BDD!B:AJ,35,0)=5,BDD!$AK$122))))))</f>
        <v/>
      </c>
      <c r="F28" t="str">
        <f>IF('Doors order'!E36="","",IF(VLOOKUP('Doors order'!E36,BDD!B:AQ,42,0)="","",VLOOKUP('Doors order'!E36,BDD!B:AQ,42,0)))</f>
        <v/>
      </c>
      <c r="G28" t="str">
        <f>IF('Doors order'!B36="","",'Doors order'!B36)</f>
        <v/>
      </c>
      <c r="H28" t="str">
        <f>IF('Doors order'!C36="","",IF('Doors order'!$N$7="mm",'Doors order'!C36/25.4,'Doors order'!C36))</f>
        <v/>
      </c>
      <c r="I28" t="str">
        <f>IF('Doors order'!D36="","",IF('Doors order'!$N$7="mm",'Doors order'!D36/25.4,'Doors order'!D36))</f>
        <v/>
      </c>
      <c r="J28" t="str">
        <f>IF('Doors order'!E36="","",18)</f>
        <v/>
      </c>
      <c r="K28" t="str">
        <f>IF('Doors order'!F36="","",IF('Doors order'!F36="no grain",0,IF('Doors order'!F36="vertical",1,IF('Doors order'!F36="horizontal",2,IF('Doors order'!F36="ver.sequenced",1,IF('Doors order'!F36="hor.sequenced",2,0))))))</f>
        <v/>
      </c>
      <c r="L28" t="str">
        <f>IF('Doors order'!F36="","",IF('Doors order'!F36="no grain",0,IF('Doors order'!F36="vertical",0,IF('Doors order'!F36="horizontal",0,IF('Doors order'!F36="ver.sequenced",1,IF('Doors order'!F36="hor.sequenced",2,0))))))</f>
        <v/>
      </c>
      <c r="M28" t="str">
        <f>IF('Doors order'!G36="","",IF(VLOOKUP('Doors order'!G36,BDD!$Y:$AT,22,0)="","",VLOOKUP('Doors order'!G36,BDD!$Y:$AT,22,0)))</f>
        <v/>
      </c>
      <c r="N28" t="str">
        <f>IF('Doors order'!H36="","",IF(VLOOKUP('Doors order'!H36,BDD!$Y:$AT,22,0)="","",VLOOKUP('Doors order'!H36,BDD!$Y:$AT,22,0)))</f>
        <v/>
      </c>
      <c r="O28" t="str">
        <f>IF('Doors order'!I36="","",IF(VLOOKUP('Doors order'!I36,BDD!$Y:$AT,22,0)="","",VLOOKUP('Doors order'!I36,BDD!$Y:$AT,22,0)))</f>
        <v/>
      </c>
      <c r="P28" t="str">
        <f>IF('Doors order'!J36="","",IF(VLOOKUP('Doors order'!J36,BDD!$Y:$AT,22,0)="","",VLOOKUP('Doors order'!J36,BDD!$Y:$AT,22,0)))</f>
        <v/>
      </c>
      <c r="Q28" t="str">
        <f>IF('Doors order'!G36="","",IF(VLOOKUP('Doors order'!G36,BDD!$Y:$AE,7,0)=1,"TRUE","FALSE"))</f>
        <v/>
      </c>
      <c r="R28" t="str">
        <f>IF('Doors order'!H36="","",IF(VLOOKUP('Doors order'!H36,BDD!$Y:$AE,7,0)=1,"TRUE","FALSE"))</f>
        <v/>
      </c>
      <c r="S28" t="str">
        <f>IF('Doors order'!I36="","",IF(VLOOKUP('Doors order'!I36,BDD!$Y:$AE,7,0)=1,"TRUE","FALSE"))</f>
        <v/>
      </c>
      <c r="T28" s="418" t="str">
        <f>IF('Doors order'!J36="","",IF(VLOOKUP('Doors order'!J36,BDD!$Y:$AE,7,0)=1,"TRUE","FALSE"))</f>
        <v/>
      </c>
    </row>
    <row r="29" spans="1:20" x14ac:dyDescent="0.25">
      <c r="A29" s="422" t="str">
        <f>IF(B29="","",IF(C29="","",IF('Doors order'!$G$7="","",RIGHT(CONCATENATE("000000",'Doors order'!$G$7), 6))))</f>
        <v/>
      </c>
      <c r="B29" t="str">
        <f>IF(C29="","",IF('Doors order'!$A$7="","",'Doors order'!$A$7))</f>
        <v/>
      </c>
      <c r="C29" s="64" t="str">
        <f>IF(D29="","",IF('Doors order'!$K$7="","",'Doors order'!$K$7))</f>
        <v/>
      </c>
      <c r="D29" t="str">
        <f>IF(E29="","",IF('Doors order'!F37="Finger Pull",IF(E29=BDD!$AK$122,BDD!$AK$127,BDD!$AK$126),IF(E29=BDD!$AK$122,BDD!$AK$116,BDD!$AK$117)))</f>
        <v/>
      </c>
      <c r="E29" t="str">
        <f>IF('Doors order'!E37="","",IF(VLOOKUP('Doors order'!E37,BDD!B:AJ,35,0)=1,BDD!$AK$118,IF(VLOOKUP('Doors order'!E37,BDD!B:AJ,35,0)=2,BDD!$AK$120,IF(VLOOKUP('Doors order'!E37,BDD!B:AJ,35,0)=3,BDD!$AK$119,IF(VLOOKUP('Doors order'!E37,BDD!B:AJ,35,0)=4,BDD!$AK$121,IF(VLOOKUP('Doors order'!E37,BDD!B:AJ,35,0)=5,BDD!$AK$122))))))</f>
        <v/>
      </c>
      <c r="F29" t="str">
        <f>IF('Doors order'!E37="","",IF(VLOOKUP('Doors order'!E37,BDD!B:AQ,42,0)="","",VLOOKUP('Doors order'!E37,BDD!B:AQ,42,0)))</f>
        <v/>
      </c>
      <c r="G29" t="str">
        <f>IF('Doors order'!B37="","",'Doors order'!B37)</f>
        <v/>
      </c>
      <c r="H29" t="str">
        <f>IF('Doors order'!C37="","",IF('Doors order'!$N$7="mm",'Doors order'!C37/25.4,'Doors order'!C37))</f>
        <v/>
      </c>
      <c r="I29" t="str">
        <f>IF('Doors order'!D37="","",IF('Doors order'!$N$7="mm",'Doors order'!D37/25.4,'Doors order'!D37))</f>
        <v/>
      </c>
      <c r="J29" t="str">
        <f>IF('Doors order'!E37="","",18)</f>
        <v/>
      </c>
      <c r="K29" t="str">
        <f>IF('Doors order'!F37="","",IF('Doors order'!F37="no grain",0,IF('Doors order'!F37="vertical",1,IF('Doors order'!F37="horizontal",2,IF('Doors order'!F37="ver.sequenced",1,IF('Doors order'!F37="hor.sequenced",2,0))))))</f>
        <v/>
      </c>
      <c r="L29" t="str">
        <f>IF('Doors order'!F37="","",IF('Doors order'!F37="no grain",0,IF('Doors order'!F37="vertical",0,IF('Doors order'!F37="horizontal",0,IF('Doors order'!F37="ver.sequenced",1,IF('Doors order'!F37="hor.sequenced",2,0))))))</f>
        <v/>
      </c>
      <c r="M29" t="str">
        <f>IF('Doors order'!G37="","",IF(VLOOKUP('Doors order'!G37,BDD!$Y:$AT,22,0)="","",VLOOKUP('Doors order'!G37,BDD!$Y:$AT,22,0)))</f>
        <v/>
      </c>
      <c r="N29" t="str">
        <f>IF('Doors order'!H37="","",IF(VLOOKUP('Doors order'!H37,BDD!$Y:$AT,22,0)="","",VLOOKUP('Doors order'!H37,BDD!$Y:$AT,22,0)))</f>
        <v/>
      </c>
      <c r="O29" t="str">
        <f>IF('Doors order'!I37="","",IF(VLOOKUP('Doors order'!I37,BDD!$Y:$AT,22,0)="","",VLOOKUP('Doors order'!I37,BDD!$Y:$AT,22,0)))</f>
        <v/>
      </c>
      <c r="P29" t="str">
        <f>IF('Doors order'!J37="","",IF(VLOOKUP('Doors order'!J37,BDD!$Y:$AT,22,0)="","",VLOOKUP('Doors order'!J37,BDD!$Y:$AT,22,0)))</f>
        <v/>
      </c>
      <c r="Q29" t="str">
        <f>IF('Doors order'!G37="","",IF(VLOOKUP('Doors order'!G37,BDD!$Y:$AE,7,0)=1,"TRUE","FALSE"))</f>
        <v/>
      </c>
      <c r="R29" t="str">
        <f>IF('Doors order'!H37="","",IF(VLOOKUP('Doors order'!H37,BDD!$Y:$AE,7,0)=1,"TRUE","FALSE"))</f>
        <v/>
      </c>
      <c r="S29" t="str">
        <f>IF('Doors order'!I37="","",IF(VLOOKUP('Doors order'!I37,BDD!$Y:$AE,7,0)=1,"TRUE","FALSE"))</f>
        <v/>
      </c>
      <c r="T29" s="418" t="str">
        <f>IF('Doors order'!J37="","",IF(VLOOKUP('Doors order'!J37,BDD!$Y:$AE,7,0)=1,"TRUE","FALSE"))</f>
        <v/>
      </c>
    </row>
    <row r="30" spans="1:20" x14ac:dyDescent="0.25">
      <c r="A30" s="422" t="str">
        <f>IF(B30="","",IF(C30="","",IF('Doors order'!$G$7="","",RIGHT(CONCATENATE("000000",'Doors order'!$G$7), 6))))</f>
        <v/>
      </c>
      <c r="B30" t="str">
        <f>IF(C30="","",IF('Doors order'!$A$7="","",'Doors order'!$A$7))</f>
        <v/>
      </c>
      <c r="C30" s="64" t="str">
        <f>IF(D30="","",IF('Doors order'!$K$7="","",'Doors order'!$K$7))</f>
        <v/>
      </c>
      <c r="D30" t="str">
        <f>IF(E30="","",IF('Doors order'!F38="Finger Pull",IF(E30=BDD!$AK$122,BDD!$AK$127,BDD!$AK$126),IF(E30=BDD!$AK$122,BDD!$AK$116,BDD!$AK$117)))</f>
        <v/>
      </c>
      <c r="E30" t="str">
        <f>IF('Doors order'!E38="","",IF(VLOOKUP('Doors order'!E38,BDD!B:AJ,35,0)=1,BDD!$AK$118,IF(VLOOKUP('Doors order'!E38,BDD!B:AJ,35,0)=2,BDD!$AK$120,IF(VLOOKUP('Doors order'!E38,BDD!B:AJ,35,0)=3,BDD!$AK$119,IF(VLOOKUP('Doors order'!E38,BDD!B:AJ,35,0)=4,BDD!$AK$121,IF(VLOOKUP('Doors order'!E38,BDD!B:AJ,35,0)=5,BDD!$AK$122))))))</f>
        <v/>
      </c>
      <c r="F30" t="str">
        <f>IF('Doors order'!E38="","",IF(VLOOKUP('Doors order'!E38,BDD!B:AQ,42,0)="","",VLOOKUP('Doors order'!E38,BDD!B:AQ,42,0)))</f>
        <v/>
      </c>
      <c r="G30" t="str">
        <f>IF('Doors order'!B38="","",'Doors order'!B38)</f>
        <v/>
      </c>
      <c r="H30" t="str">
        <f>IF('Doors order'!C38="","",IF('Doors order'!$N$7="mm",'Doors order'!C38/25.4,'Doors order'!C38))</f>
        <v/>
      </c>
      <c r="I30" t="str">
        <f>IF('Doors order'!D38="","",IF('Doors order'!$N$7="mm",'Doors order'!D38/25.4,'Doors order'!D38))</f>
        <v/>
      </c>
      <c r="J30" t="str">
        <f>IF('Doors order'!E38="","",18)</f>
        <v/>
      </c>
      <c r="K30" t="str">
        <f>IF('Doors order'!F38="","",IF('Doors order'!F38="no grain",0,IF('Doors order'!F38="vertical",1,IF('Doors order'!F38="horizontal",2,IF('Doors order'!F38="ver.sequenced",1,IF('Doors order'!F38="hor.sequenced",2,0))))))</f>
        <v/>
      </c>
      <c r="L30" t="str">
        <f>IF('Doors order'!F38="","",IF('Doors order'!F38="no grain",0,IF('Doors order'!F38="vertical",0,IF('Doors order'!F38="horizontal",0,IF('Doors order'!F38="ver.sequenced",1,IF('Doors order'!F38="hor.sequenced",2,0))))))</f>
        <v/>
      </c>
      <c r="M30" t="str">
        <f>IF('Doors order'!G38="","",IF(VLOOKUP('Doors order'!G38,BDD!$Y:$AT,22,0)="","",VLOOKUP('Doors order'!G38,BDD!$Y:$AT,22,0)))</f>
        <v/>
      </c>
      <c r="N30" t="str">
        <f>IF('Doors order'!H38="","",IF(VLOOKUP('Doors order'!H38,BDD!$Y:$AT,22,0)="","",VLOOKUP('Doors order'!H38,BDD!$Y:$AT,22,0)))</f>
        <v/>
      </c>
      <c r="O30" t="str">
        <f>IF('Doors order'!I38="","",IF(VLOOKUP('Doors order'!I38,BDD!$Y:$AT,22,0)="","",VLOOKUP('Doors order'!I38,BDD!$Y:$AT,22,0)))</f>
        <v/>
      </c>
      <c r="P30" t="str">
        <f>IF('Doors order'!J38="","",IF(VLOOKUP('Doors order'!J38,BDD!$Y:$AT,22,0)="","",VLOOKUP('Doors order'!J38,BDD!$Y:$AT,22,0)))</f>
        <v/>
      </c>
      <c r="Q30" t="str">
        <f>IF('Doors order'!G38="","",IF(VLOOKUP('Doors order'!G38,BDD!$Y:$AE,7,0)=1,"TRUE","FALSE"))</f>
        <v/>
      </c>
      <c r="R30" t="str">
        <f>IF('Doors order'!H38="","",IF(VLOOKUP('Doors order'!H38,BDD!$Y:$AE,7,0)=1,"TRUE","FALSE"))</f>
        <v/>
      </c>
      <c r="S30" t="str">
        <f>IF('Doors order'!I38="","",IF(VLOOKUP('Doors order'!I38,BDD!$Y:$AE,7,0)=1,"TRUE","FALSE"))</f>
        <v/>
      </c>
      <c r="T30" s="418" t="str">
        <f>IF('Doors order'!J38="","",IF(VLOOKUP('Doors order'!J38,BDD!$Y:$AE,7,0)=1,"TRUE","FALSE"))</f>
        <v/>
      </c>
    </row>
    <row r="31" spans="1:20" x14ac:dyDescent="0.25">
      <c r="A31" s="422" t="str">
        <f>IF(B31="","",IF(C31="","",IF('Doors order'!$G$7="","",RIGHT(CONCATENATE("000000",'Doors order'!$G$7), 6))))</f>
        <v/>
      </c>
      <c r="B31" t="str">
        <f>IF(C31="","",IF('Doors order'!$A$7="","",'Doors order'!$A$7))</f>
        <v/>
      </c>
      <c r="C31" s="64" t="str">
        <f>IF(D31="","",IF('Doors order'!$K$7="","",'Doors order'!$K$7))</f>
        <v/>
      </c>
      <c r="D31" t="str">
        <f>IF(E31="","",IF('Doors order'!F39="Finger Pull",IF(E31=BDD!$AK$122,BDD!$AK$127,BDD!$AK$126),IF(E31=BDD!$AK$122,BDD!$AK$116,BDD!$AK$117)))</f>
        <v/>
      </c>
      <c r="E31" t="str">
        <f>IF('Doors order'!E39="","",IF(VLOOKUP('Doors order'!E39,BDD!B:AJ,35,0)=1,BDD!$AK$118,IF(VLOOKUP('Doors order'!E39,BDD!B:AJ,35,0)=2,BDD!$AK$120,IF(VLOOKUP('Doors order'!E39,BDD!B:AJ,35,0)=3,BDD!$AK$119,IF(VLOOKUP('Doors order'!E39,BDD!B:AJ,35,0)=4,BDD!$AK$121,IF(VLOOKUP('Doors order'!E39,BDD!B:AJ,35,0)=5,BDD!$AK$122))))))</f>
        <v/>
      </c>
      <c r="F31" t="str">
        <f>IF('Doors order'!E39="","",IF(VLOOKUP('Doors order'!E39,BDD!B:AQ,42,0)="","",VLOOKUP('Doors order'!E39,BDD!B:AQ,42,0)))</f>
        <v/>
      </c>
      <c r="G31" t="str">
        <f>IF('Doors order'!B39="","",'Doors order'!B39)</f>
        <v/>
      </c>
      <c r="H31" t="str">
        <f>IF('Doors order'!C39="","",IF('Doors order'!$N$7="mm",'Doors order'!C39/25.4,'Doors order'!C39))</f>
        <v/>
      </c>
      <c r="I31" t="str">
        <f>IF('Doors order'!D39="","",IF('Doors order'!$N$7="mm",'Doors order'!D39/25.4,'Doors order'!D39))</f>
        <v/>
      </c>
      <c r="J31" t="str">
        <f>IF('Doors order'!E39="","",18)</f>
        <v/>
      </c>
      <c r="K31" t="str">
        <f>IF('Doors order'!F39="","",IF('Doors order'!F39="no grain",0,IF('Doors order'!F39="vertical",1,IF('Doors order'!F39="horizontal",2,IF('Doors order'!F39="ver.sequenced",1,IF('Doors order'!F39="hor.sequenced",2,0))))))</f>
        <v/>
      </c>
      <c r="L31" t="str">
        <f>IF('Doors order'!F39="","",IF('Doors order'!F39="no grain",0,IF('Doors order'!F39="vertical",0,IF('Doors order'!F39="horizontal",0,IF('Doors order'!F39="ver.sequenced",1,IF('Doors order'!F39="hor.sequenced",2,0))))))</f>
        <v/>
      </c>
      <c r="M31" t="str">
        <f>IF('Doors order'!G39="","",IF(VLOOKUP('Doors order'!G39,BDD!$Y:$AT,22,0)="","",VLOOKUP('Doors order'!G39,BDD!$Y:$AT,22,0)))</f>
        <v/>
      </c>
      <c r="N31" t="str">
        <f>IF('Doors order'!H39="","",IF(VLOOKUP('Doors order'!H39,BDD!$Y:$AT,22,0)="","",VLOOKUP('Doors order'!H39,BDD!$Y:$AT,22,0)))</f>
        <v/>
      </c>
      <c r="O31" t="str">
        <f>IF('Doors order'!I39="","",IF(VLOOKUP('Doors order'!I39,BDD!$Y:$AT,22,0)="","",VLOOKUP('Doors order'!I39,BDD!$Y:$AT,22,0)))</f>
        <v/>
      </c>
      <c r="P31" t="str">
        <f>IF('Doors order'!J39="","",IF(VLOOKUP('Doors order'!J39,BDD!$Y:$AT,22,0)="","",VLOOKUP('Doors order'!J39,BDD!$Y:$AT,22,0)))</f>
        <v/>
      </c>
      <c r="Q31" t="str">
        <f>IF('Doors order'!G39="","",IF(VLOOKUP('Doors order'!G39,BDD!$Y:$AE,7,0)=1,"TRUE","FALSE"))</f>
        <v/>
      </c>
      <c r="R31" t="str">
        <f>IF('Doors order'!H39="","",IF(VLOOKUP('Doors order'!H39,BDD!$Y:$AE,7,0)=1,"TRUE","FALSE"))</f>
        <v/>
      </c>
      <c r="S31" t="str">
        <f>IF('Doors order'!I39="","",IF(VLOOKUP('Doors order'!I39,BDD!$Y:$AE,7,0)=1,"TRUE","FALSE"))</f>
        <v/>
      </c>
      <c r="T31" s="418" t="str">
        <f>IF('Doors order'!J39="","",IF(VLOOKUP('Doors order'!J39,BDD!$Y:$AE,7,0)=1,"TRUE","FALSE"))</f>
        <v/>
      </c>
    </row>
    <row r="32" spans="1:20" x14ac:dyDescent="0.25">
      <c r="A32" s="420" t="str">
        <f>IF(B32="","",IF(C32="","",IF('Cava Doors order'!$G$7="","",RIGHT(CONCATENATE("000000",'Cava Doors order'!$G$7), 6))))</f>
        <v/>
      </c>
      <c r="B32" s="416" t="str">
        <f>IF(C32="","",IF('Cava Doors order'!$A$7="","",'Cava Doors order'!$A$7))</f>
        <v/>
      </c>
      <c r="C32" s="421" t="str">
        <f>IF(D32="","",IF('Cava Doors order'!$K$7="","",'Cava Doors order'!$K$7))</f>
        <v/>
      </c>
      <c r="D32" s="445" t="str">
        <f>IF(E32="","",IF(VLOOKUP(F32,BDD!$AG$138:$AJ$161,3,0)=1,BDD!$AK$124,BDD!$AK$125))</f>
        <v/>
      </c>
      <c r="E32" s="445" t="str">
        <f>IF('Cava Doors order'!E10="","",'Cava Doors order'!F10)</f>
        <v/>
      </c>
      <c r="F32" s="416" t="str">
        <f>IF('Cava Doors order'!E10="","",IF(VLOOKUP('Cava Doors order'!E10,BDD!B:AQ,42,0)="","",VLOOKUP('Cava Doors order'!E10,BDD!B:AQ,42,0)))</f>
        <v/>
      </c>
      <c r="G32" s="416" t="str">
        <f>IF('Cava Doors order'!B10="","",'Cava Doors order'!B10)</f>
        <v/>
      </c>
      <c r="H32" s="416" t="str">
        <f>IF('Cava Doors order'!C10="","",IF('Cava Doors order'!$N$7="mm",'Cava Doors order'!C10/25.4,'Cava Doors order'!C10))</f>
        <v/>
      </c>
      <c r="I32" s="416" t="str">
        <f>IF('Cava Doors order'!D10="","",IF('Cava Doors order'!$N$7="mm",'Cava Doors order'!D10/25.4,'Cava Doors order'!D10))</f>
        <v/>
      </c>
      <c r="J32" s="416" t="str">
        <f>IF('Cava Doors order'!E10="","",18)</f>
        <v/>
      </c>
      <c r="K32" s="416" t="str">
        <f>IF('Cava Doors order'!F10="","",IF('Cava Doors order'!F10="no grain",0,0))</f>
        <v/>
      </c>
      <c r="L32" s="416" t="str">
        <f>IF('Cava Doors order'!F10="","",IF('Doors order'!F10="no grain",0,0))</f>
        <v/>
      </c>
      <c r="M32" s="416" t="str">
        <f>IF('Cava Doors order'!G10="","",IF(VLOOKUP('Cava Doors order'!G10,BDD!$Y:$AT,22,0)="","",VLOOKUP('Cava Doors order'!G10,BDD!$Y:$AT,22,0)))</f>
        <v/>
      </c>
      <c r="N32" s="416" t="str">
        <f>IF('Cava Doors order'!H10="","",IF(VLOOKUP('Cava Doors order'!H10,BDD!$Y:$AT,22,0)="","",VLOOKUP('Cava Doors order'!H10,BDD!$Y:$AT,22,0)))</f>
        <v/>
      </c>
      <c r="O32" s="416" t="str">
        <f>IF('Cava Doors order'!I10="","",IF(VLOOKUP('Cava Doors order'!I10,BDD!$Y:$AT,22,0)="","",VLOOKUP('Cava Doors order'!I10,BDD!$Y:$AT,22,0)))</f>
        <v/>
      </c>
      <c r="P32" s="416" t="str">
        <f>IF('Cava Doors order'!J10="","",IF(VLOOKUP('Cava Doors order'!J10,BDD!$Y:$AT,22,0)="","",VLOOKUP('Cava Doors order'!J10,BDD!$Y:$AT,22,0)))</f>
        <v/>
      </c>
      <c r="Q32" s="416" t="str">
        <f>IF('Cava Doors order'!G10="","",IF(VLOOKUP('Cava Doors order'!G10,BDD!$Y:$AE,7,0)=1,"TRUE","FALSE"))</f>
        <v/>
      </c>
      <c r="R32" s="416" t="str">
        <f>IF('Cava Doors order'!H10="","",IF(VLOOKUP('Cava Doors order'!H10,BDD!$Y:$AE,7,0)=1,"TRUE","FALSE"))</f>
        <v/>
      </c>
      <c r="S32" s="416" t="str">
        <f>IF('Cava Doors order'!I10="","",IF(VLOOKUP('Cava Doors order'!I10,BDD!$Y:$AE,7,0)=1,"TRUE","FALSE"))</f>
        <v/>
      </c>
      <c r="T32" s="417" t="str">
        <f>IF('Cava Doors order'!J10="","",IF(VLOOKUP('Cava Doors order'!J10,BDD!$Y:$AE,7,0)=1,"TRUE","FALSE"))</f>
        <v/>
      </c>
    </row>
    <row r="33" spans="1:20" x14ac:dyDescent="0.25">
      <c r="A33" s="422" t="str">
        <f>IF(B33="","",IF(C33="","",IF('Cava Doors order'!$G$7="","",RIGHT(CONCATENATE("000000",'Cava Doors order'!$G$7), 6))))</f>
        <v/>
      </c>
      <c r="B33" t="str">
        <f>IF(C33="","",IF('Cava Doors order'!$A$7="","",'Cava Doors order'!$A$7))</f>
        <v/>
      </c>
      <c r="C33" s="64" t="str">
        <f>IF(D33="","",IF('Cava Doors order'!$K$7="","",'Cava Doors order'!$K$7))</f>
        <v/>
      </c>
      <c r="D33" s="431" t="str">
        <f>IF(E33="","",IF(VLOOKUP(F33,BDD!$AG$138:$AJ$161,3,0)=1,BDD!$AK$124,BDD!$AK$125))</f>
        <v/>
      </c>
      <c r="E33" s="431" t="str">
        <f>IF('Cava Doors order'!E11="","",'Cava Doors order'!F11)</f>
        <v/>
      </c>
      <c r="F33" t="str">
        <f>IF('Cava Doors order'!E11="","",IF(VLOOKUP('Cava Doors order'!E11,BDD!B:AQ,42,0)="","",VLOOKUP('Cava Doors order'!E11,BDD!B:AQ,42,0)))</f>
        <v/>
      </c>
      <c r="G33" t="str">
        <f>IF('Cava Doors order'!B11="","",'Cava Doors order'!B11)</f>
        <v/>
      </c>
      <c r="H33" t="str">
        <f>IF('Cava Doors order'!C11="","",IF('Cava Doors order'!$N$7="mm",'Cava Doors order'!C11/25.4,'Cava Doors order'!C11))</f>
        <v/>
      </c>
      <c r="I33" t="str">
        <f>IF('Cava Doors order'!D11="","",IF('Cava Doors order'!$N$7="mm",'Cava Doors order'!D11/25.4,'Cava Doors order'!D11))</f>
        <v/>
      </c>
      <c r="J33" t="str">
        <f>IF('Cava Doors order'!E11="","",18)</f>
        <v/>
      </c>
      <c r="K33" t="str">
        <f>IF('Cava Doors order'!F11="","",IF('Cava Doors order'!F11="no grain",0,0))</f>
        <v/>
      </c>
      <c r="L33" t="str">
        <f>IF('Cava Doors order'!F11="","",IF('Doors order'!F11="no grain",0,0))</f>
        <v/>
      </c>
      <c r="M33" t="str">
        <f>IF('Cava Doors order'!G11="","",IF(VLOOKUP('Cava Doors order'!G11,BDD!$Y:$AT,22,0)="","",VLOOKUP('Cava Doors order'!G11,BDD!$Y:$AT,22,0)))</f>
        <v/>
      </c>
      <c r="N33" t="str">
        <f>IF('Cava Doors order'!H11="","",IF(VLOOKUP('Cava Doors order'!H11,BDD!$Y:$AT,22,0)="","",VLOOKUP('Cava Doors order'!H11,BDD!$Y:$AT,22,0)))</f>
        <v/>
      </c>
      <c r="O33" t="str">
        <f>IF('Cava Doors order'!I11="","",IF(VLOOKUP('Cava Doors order'!I11,BDD!$Y:$AT,22,0)="","",VLOOKUP('Cava Doors order'!I11,BDD!$Y:$AT,22,0)))</f>
        <v/>
      </c>
      <c r="P33" t="str">
        <f>IF('Cava Doors order'!J11="","",IF(VLOOKUP('Cava Doors order'!J11,BDD!$Y:$AT,22,0)="","",VLOOKUP('Cava Doors order'!J11,BDD!$Y:$AT,22,0)))</f>
        <v/>
      </c>
      <c r="Q33" t="str">
        <f>IF('Cava Doors order'!G11="","",IF(VLOOKUP('Cava Doors order'!G11,BDD!$Y:$AE,7,0)=1,"TRUE","FALSE"))</f>
        <v/>
      </c>
      <c r="R33" t="str">
        <f>IF('Cava Doors order'!H11="","",IF(VLOOKUP('Cava Doors order'!H11,BDD!$Y:$AE,7,0)=1,"TRUE","FALSE"))</f>
        <v/>
      </c>
      <c r="S33" t="str">
        <f>IF('Cava Doors order'!I11="","",IF(VLOOKUP('Cava Doors order'!I11,BDD!$Y:$AE,7,0)=1,"TRUE","FALSE"))</f>
        <v/>
      </c>
      <c r="T33" s="418" t="str">
        <f>IF('Cava Doors order'!J11="","",IF(VLOOKUP('Cava Doors order'!J11,BDD!$Y:$AE,7,0)=1,"TRUE","FALSE"))</f>
        <v/>
      </c>
    </row>
    <row r="34" spans="1:20" x14ac:dyDescent="0.25">
      <c r="A34" s="422" t="str">
        <f>IF(B34="","",IF(C34="","",IF('Cava Doors order'!$G$7="","",RIGHT(CONCATENATE("000000",'Cava Doors order'!$G$7), 6))))</f>
        <v/>
      </c>
      <c r="B34" t="str">
        <f>IF(C34="","",IF('Cava Doors order'!$A$7="","",'Cava Doors order'!$A$7))</f>
        <v/>
      </c>
      <c r="C34" s="64" t="str">
        <f>IF(D34="","",IF('Cava Doors order'!$K$7="","",'Cava Doors order'!$K$7))</f>
        <v/>
      </c>
      <c r="D34" s="431" t="str">
        <f>IF(E34="","",IF(VLOOKUP(F34,BDD!$AG$138:$AJ$161,3,0)=1,BDD!$AK$124,BDD!$AK$125))</f>
        <v/>
      </c>
      <c r="E34" s="431" t="str">
        <f>IF('Cava Doors order'!E12="","",'Cava Doors order'!F12)</f>
        <v/>
      </c>
      <c r="F34" t="str">
        <f>IF('Cava Doors order'!E12="","",IF(VLOOKUP('Cava Doors order'!E12,BDD!B:AQ,42,0)="","",VLOOKUP('Cava Doors order'!E12,BDD!B:AQ,42,0)))</f>
        <v/>
      </c>
      <c r="G34" t="str">
        <f>IF('Cava Doors order'!B12="","",'Cava Doors order'!B12)</f>
        <v/>
      </c>
      <c r="H34" t="str">
        <f>IF('Cava Doors order'!C12="","",IF('Cava Doors order'!$N$7="mm",'Cava Doors order'!C12/25.4,'Cava Doors order'!C12))</f>
        <v/>
      </c>
      <c r="I34" t="str">
        <f>IF('Cava Doors order'!D12="","",IF('Cava Doors order'!$N$7="mm",'Cava Doors order'!D12/25.4,'Cava Doors order'!D12))</f>
        <v/>
      </c>
      <c r="J34" t="str">
        <f>IF('Cava Doors order'!E12="","",18)</f>
        <v/>
      </c>
      <c r="K34" t="str">
        <f>IF('Cava Doors order'!F12="","",IF('Cava Doors order'!F12="no grain",0,0))</f>
        <v/>
      </c>
      <c r="L34" t="str">
        <f>IF('Cava Doors order'!F12="","",IF('Doors order'!F12="no grain",0,0))</f>
        <v/>
      </c>
      <c r="M34" t="str">
        <f>IF('Cava Doors order'!G12="","",IF(VLOOKUP('Cava Doors order'!G12,BDD!$Y:$AT,22,0)="","",VLOOKUP('Cava Doors order'!G12,BDD!$Y:$AT,22,0)))</f>
        <v/>
      </c>
      <c r="N34" t="str">
        <f>IF('Cava Doors order'!H12="","",IF(VLOOKUP('Cava Doors order'!H12,BDD!$Y:$AT,22,0)="","",VLOOKUP('Cava Doors order'!H12,BDD!$Y:$AT,22,0)))</f>
        <v/>
      </c>
      <c r="O34" t="str">
        <f>IF('Cava Doors order'!I12="","",IF(VLOOKUP('Cava Doors order'!I12,BDD!$Y:$AT,22,0)="","",VLOOKUP('Cava Doors order'!I12,BDD!$Y:$AT,22,0)))</f>
        <v/>
      </c>
      <c r="P34" t="str">
        <f>IF('Cava Doors order'!J12="","",IF(VLOOKUP('Cava Doors order'!J12,BDD!$Y:$AT,22,0)="","",VLOOKUP('Cava Doors order'!J12,BDD!$Y:$AT,22,0)))</f>
        <v/>
      </c>
      <c r="Q34" t="str">
        <f>IF('Cava Doors order'!G12="","",IF(VLOOKUP('Cava Doors order'!G12,BDD!$Y:$AE,7,0)=1,"TRUE","FALSE"))</f>
        <v/>
      </c>
      <c r="R34" t="str">
        <f>IF('Cava Doors order'!H12="","",IF(VLOOKUP('Cava Doors order'!H12,BDD!$Y:$AE,7,0)=1,"TRUE","FALSE"))</f>
        <v/>
      </c>
      <c r="S34" t="str">
        <f>IF('Cava Doors order'!I12="","",IF(VLOOKUP('Cava Doors order'!I12,BDD!$Y:$AE,7,0)=1,"TRUE","FALSE"))</f>
        <v/>
      </c>
      <c r="T34" s="418" t="str">
        <f>IF('Cava Doors order'!J12="","",IF(VLOOKUP('Cava Doors order'!J12,BDD!$Y:$AE,7,0)=1,"TRUE","FALSE"))</f>
        <v/>
      </c>
    </row>
    <row r="35" spans="1:20" x14ac:dyDescent="0.25">
      <c r="A35" s="422" t="str">
        <f>IF(B35="","",IF(C35="","",IF('Cava Doors order'!$G$7="","",RIGHT(CONCATENATE("000000",'Cava Doors order'!$G$7), 6))))</f>
        <v/>
      </c>
      <c r="B35" t="str">
        <f>IF(C35="","",IF('Cava Doors order'!$A$7="","",'Cava Doors order'!$A$7))</f>
        <v/>
      </c>
      <c r="C35" s="64" t="str">
        <f>IF(D35="","",IF('Cava Doors order'!$K$7="","",'Cava Doors order'!$K$7))</f>
        <v/>
      </c>
      <c r="D35" s="431" t="str">
        <f>IF(E35="","",IF(VLOOKUP(F35,BDD!$AG$138:$AJ$161,3,0)=1,BDD!$AK$124,BDD!$AK$125))</f>
        <v/>
      </c>
      <c r="E35" s="431" t="str">
        <f>IF('Cava Doors order'!E13="","",'Cava Doors order'!F13)</f>
        <v/>
      </c>
      <c r="F35" t="str">
        <f>IF('Cava Doors order'!E13="","",IF(VLOOKUP('Cava Doors order'!E13,BDD!B:AQ,42,0)="","",VLOOKUP('Cava Doors order'!E13,BDD!B:AQ,42,0)))</f>
        <v/>
      </c>
      <c r="G35" t="str">
        <f>IF('Cava Doors order'!B13="","",'Cava Doors order'!B13)</f>
        <v/>
      </c>
      <c r="H35" t="str">
        <f>IF('Cava Doors order'!C13="","",IF('Cava Doors order'!$N$7="mm",'Cava Doors order'!C13/25.4,'Cava Doors order'!C13))</f>
        <v/>
      </c>
      <c r="I35" t="str">
        <f>IF('Cava Doors order'!D13="","",IF('Cava Doors order'!$N$7="mm",'Cava Doors order'!D13/25.4,'Cava Doors order'!D13))</f>
        <v/>
      </c>
      <c r="J35" t="str">
        <f>IF('Cava Doors order'!E13="","",18)</f>
        <v/>
      </c>
      <c r="K35" t="str">
        <f>IF('Cava Doors order'!F13="","",IF('Cava Doors order'!F13="no grain",0,0))</f>
        <v/>
      </c>
      <c r="L35" t="str">
        <f>IF('Cava Doors order'!F13="","",IF('Doors order'!F13="no grain",0,0))</f>
        <v/>
      </c>
      <c r="M35" t="str">
        <f>IF('Cava Doors order'!G13="","",IF(VLOOKUP('Cava Doors order'!G13,BDD!$Y:$AT,22,0)="","",VLOOKUP('Cava Doors order'!G13,BDD!$Y:$AT,22,0)))</f>
        <v/>
      </c>
      <c r="N35" t="str">
        <f>IF('Cava Doors order'!H13="","",IF(VLOOKUP('Cava Doors order'!H13,BDD!$Y:$AT,22,0)="","",VLOOKUP('Cava Doors order'!H13,BDD!$Y:$AT,22,0)))</f>
        <v/>
      </c>
      <c r="O35" t="str">
        <f>IF('Cava Doors order'!I13="","",IF(VLOOKUP('Cava Doors order'!I13,BDD!$Y:$AT,22,0)="","",VLOOKUP('Cava Doors order'!I13,BDD!$Y:$AT,22,0)))</f>
        <v/>
      </c>
      <c r="P35" t="str">
        <f>IF('Cava Doors order'!J13="","",IF(VLOOKUP('Cava Doors order'!J13,BDD!$Y:$AT,22,0)="","",VLOOKUP('Cava Doors order'!J13,BDD!$Y:$AT,22,0)))</f>
        <v/>
      </c>
      <c r="Q35" t="str">
        <f>IF('Cava Doors order'!G13="","",IF(VLOOKUP('Cava Doors order'!G13,BDD!$Y:$AE,7,0)=1,"TRUE","FALSE"))</f>
        <v/>
      </c>
      <c r="R35" t="str">
        <f>IF('Cava Doors order'!H13="","",IF(VLOOKUP('Cava Doors order'!H13,BDD!$Y:$AE,7,0)=1,"TRUE","FALSE"))</f>
        <v/>
      </c>
      <c r="S35" t="str">
        <f>IF('Cava Doors order'!I13="","",IF(VLOOKUP('Cava Doors order'!I13,BDD!$Y:$AE,7,0)=1,"TRUE","FALSE"))</f>
        <v/>
      </c>
      <c r="T35" s="418" t="str">
        <f>IF('Cava Doors order'!J13="","",IF(VLOOKUP('Cava Doors order'!J13,BDD!$Y:$AE,7,0)=1,"TRUE","FALSE"))</f>
        <v/>
      </c>
    </row>
    <row r="36" spans="1:20" x14ac:dyDescent="0.25">
      <c r="A36" s="422" t="str">
        <f>IF(B36="","",IF(C36="","",IF('Cava Doors order'!$G$7="","",RIGHT(CONCATENATE("000000",'Cava Doors order'!$G$7), 6))))</f>
        <v/>
      </c>
      <c r="B36" t="str">
        <f>IF(C36="","",IF('Cava Doors order'!$A$7="","",'Cava Doors order'!$A$7))</f>
        <v/>
      </c>
      <c r="C36" s="64" t="str">
        <f>IF(D36="","",IF('Cava Doors order'!$K$7="","",'Cava Doors order'!$K$7))</f>
        <v/>
      </c>
      <c r="D36" s="431" t="str">
        <f>IF(E36="","",IF(VLOOKUP(F36,BDD!$AG$138:$AJ$161,3,0)=1,BDD!$AK$124,BDD!$AK$125))</f>
        <v/>
      </c>
      <c r="E36" s="431" t="str">
        <f>IF('Cava Doors order'!E14="","",'Cava Doors order'!F14)</f>
        <v/>
      </c>
      <c r="F36" t="str">
        <f>IF('Cava Doors order'!E14="","",IF(VLOOKUP('Cava Doors order'!E14,BDD!B:AQ,42,0)="","",VLOOKUP('Cava Doors order'!E14,BDD!B:AQ,42,0)))</f>
        <v/>
      </c>
      <c r="G36" t="str">
        <f>IF('Cava Doors order'!B14="","",'Cava Doors order'!B14)</f>
        <v/>
      </c>
      <c r="H36" t="str">
        <f>IF('Cava Doors order'!C14="","",IF('Cava Doors order'!$N$7="mm",'Cava Doors order'!C14/25.4,'Cava Doors order'!C14))</f>
        <v/>
      </c>
      <c r="I36" t="str">
        <f>IF('Cava Doors order'!D14="","",IF('Cava Doors order'!$N$7="mm",'Cava Doors order'!D14/25.4,'Cava Doors order'!D14))</f>
        <v/>
      </c>
      <c r="J36" t="str">
        <f>IF('Cava Doors order'!E14="","",18)</f>
        <v/>
      </c>
      <c r="K36" t="str">
        <f>IF('Cava Doors order'!F14="","",IF('Cava Doors order'!F14="no grain",0,0))</f>
        <v/>
      </c>
      <c r="L36" t="str">
        <f>IF('Cava Doors order'!F14="","",IF('Doors order'!F14="no grain",0,0))</f>
        <v/>
      </c>
      <c r="M36" t="str">
        <f>IF('Cava Doors order'!G14="","",IF(VLOOKUP('Cava Doors order'!G14,BDD!$Y:$AT,22,0)="","",VLOOKUP('Cava Doors order'!G14,BDD!$Y:$AT,22,0)))</f>
        <v/>
      </c>
      <c r="N36" t="str">
        <f>IF('Cava Doors order'!H14="","",IF(VLOOKUP('Cava Doors order'!H14,BDD!$Y:$AT,22,0)="","",VLOOKUP('Cava Doors order'!H14,BDD!$Y:$AT,22,0)))</f>
        <v/>
      </c>
      <c r="O36" t="str">
        <f>IF('Cava Doors order'!I14="","",IF(VLOOKUP('Cava Doors order'!I14,BDD!$Y:$AT,22,0)="","",VLOOKUP('Cava Doors order'!I14,BDD!$Y:$AT,22,0)))</f>
        <v/>
      </c>
      <c r="P36" t="str">
        <f>IF('Cava Doors order'!J14="","",IF(VLOOKUP('Cava Doors order'!J14,BDD!$Y:$AT,22,0)="","",VLOOKUP('Cava Doors order'!J14,BDD!$Y:$AT,22,0)))</f>
        <v/>
      </c>
      <c r="Q36" t="str">
        <f>IF('Cava Doors order'!G14="","",IF(VLOOKUP('Cava Doors order'!G14,BDD!$Y:$AE,7,0)=1,"TRUE","FALSE"))</f>
        <v/>
      </c>
      <c r="R36" t="str">
        <f>IF('Cava Doors order'!H14="","",IF(VLOOKUP('Cava Doors order'!H14,BDD!$Y:$AE,7,0)=1,"TRUE","FALSE"))</f>
        <v/>
      </c>
      <c r="S36" t="str">
        <f>IF('Cava Doors order'!I14="","",IF(VLOOKUP('Cava Doors order'!I14,BDD!$Y:$AE,7,0)=1,"TRUE","FALSE"))</f>
        <v/>
      </c>
      <c r="T36" s="418" t="str">
        <f>IF('Cava Doors order'!J14="","",IF(VLOOKUP('Cava Doors order'!J14,BDD!$Y:$AE,7,0)=1,"TRUE","FALSE"))</f>
        <v/>
      </c>
    </row>
    <row r="37" spans="1:20" x14ac:dyDescent="0.25">
      <c r="A37" s="422" t="str">
        <f>IF(B37="","",IF(C37="","",IF('Cava Doors order'!$G$7="","",RIGHT(CONCATENATE("000000",'Cava Doors order'!$G$7), 6))))</f>
        <v/>
      </c>
      <c r="B37" t="str">
        <f>IF(C37="","",IF('Cava Doors order'!$A$7="","",'Cava Doors order'!$A$7))</f>
        <v/>
      </c>
      <c r="C37" s="64" t="str">
        <f>IF(D37="","",IF('Cava Doors order'!$K$7="","",'Cava Doors order'!$K$7))</f>
        <v/>
      </c>
      <c r="D37" s="431" t="str">
        <f>IF(E37="","",IF(VLOOKUP(F37,BDD!$AG$138:$AJ$161,3,0)=1,BDD!$AK$124,BDD!$AK$125))</f>
        <v/>
      </c>
      <c r="E37" s="431" t="str">
        <f>IF('Cava Doors order'!E15="","",'Cava Doors order'!F15)</f>
        <v/>
      </c>
      <c r="F37" t="str">
        <f>IF('Cava Doors order'!E15="","",IF(VLOOKUP('Cava Doors order'!E15,BDD!B:AQ,42,0)="","",VLOOKUP('Cava Doors order'!E15,BDD!B:AQ,42,0)))</f>
        <v/>
      </c>
      <c r="G37" t="str">
        <f>IF('Cava Doors order'!B15="","",'Cava Doors order'!B15)</f>
        <v/>
      </c>
      <c r="H37" t="str">
        <f>IF('Cava Doors order'!C15="","",IF('Cava Doors order'!$N$7="mm",'Cava Doors order'!C15/25.4,'Cava Doors order'!C15))</f>
        <v/>
      </c>
      <c r="I37" t="str">
        <f>IF('Cava Doors order'!D15="","",IF('Cava Doors order'!$N$7="mm",'Cava Doors order'!D15/25.4,'Cava Doors order'!D15))</f>
        <v/>
      </c>
      <c r="J37" t="str">
        <f>IF('Cava Doors order'!E15="","",18)</f>
        <v/>
      </c>
      <c r="K37" t="str">
        <f>IF('Cava Doors order'!F15="","",IF('Cava Doors order'!F15="no grain",0,0))</f>
        <v/>
      </c>
      <c r="L37" t="str">
        <f>IF('Cava Doors order'!F15="","",IF('Doors order'!F15="no grain",0,0))</f>
        <v/>
      </c>
      <c r="M37" t="str">
        <f>IF('Cava Doors order'!G15="","",IF(VLOOKUP('Cava Doors order'!G15,BDD!$Y:$AT,22,0)="","",VLOOKUP('Cava Doors order'!G15,BDD!$Y:$AT,22,0)))</f>
        <v/>
      </c>
      <c r="N37" t="str">
        <f>IF('Cava Doors order'!H15="","",IF(VLOOKUP('Cava Doors order'!H15,BDD!$Y:$AT,22,0)="","",VLOOKUP('Cava Doors order'!H15,BDD!$Y:$AT,22,0)))</f>
        <v/>
      </c>
      <c r="O37" t="str">
        <f>IF('Cava Doors order'!I15="","",IF(VLOOKUP('Cava Doors order'!I15,BDD!$Y:$AT,22,0)="","",VLOOKUP('Cava Doors order'!I15,BDD!$Y:$AT,22,0)))</f>
        <v/>
      </c>
      <c r="P37" t="str">
        <f>IF('Cava Doors order'!J15="","",IF(VLOOKUP('Cava Doors order'!J15,BDD!$Y:$AT,22,0)="","",VLOOKUP('Cava Doors order'!J15,BDD!$Y:$AT,22,0)))</f>
        <v/>
      </c>
      <c r="Q37" t="str">
        <f>IF('Cava Doors order'!G15="","",IF(VLOOKUP('Cava Doors order'!G15,BDD!$Y:$AE,7,0)=1,"TRUE","FALSE"))</f>
        <v/>
      </c>
      <c r="R37" t="str">
        <f>IF('Cava Doors order'!H15="","",IF(VLOOKUP('Cava Doors order'!H15,BDD!$Y:$AE,7,0)=1,"TRUE","FALSE"))</f>
        <v/>
      </c>
      <c r="S37" t="str">
        <f>IF('Cava Doors order'!I15="","",IF(VLOOKUP('Cava Doors order'!I15,BDD!$Y:$AE,7,0)=1,"TRUE","FALSE"))</f>
        <v/>
      </c>
      <c r="T37" s="418" t="str">
        <f>IF('Cava Doors order'!J15="","",IF(VLOOKUP('Cava Doors order'!J15,BDD!$Y:$AE,7,0)=1,"TRUE","FALSE"))</f>
        <v/>
      </c>
    </row>
    <row r="38" spans="1:20" x14ac:dyDescent="0.25">
      <c r="A38" s="422" t="str">
        <f>IF(B38="","",IF(C38="","",IF('Cava Doors order'!$G$7="","",RIGHT(CONCATENATE("000000",'Cava Doors order'!$G$7), 6))))</f>
        <v/>
      </c>
      <c r="B38" t="str">
        <f>IF(C38="","",IF('Cava Doors order'!$A$7="","",'Cava Doors order'!$A$7))</f>
        <v/>
      </c>
      <c r="C38" s="64" t="str">
        <f>IF(D38="","",IF('Cava Doors order'!$K$7="","",'Cava Doors order'!$K$7))</f>
        <v/>
      </c>
      <c r="D38" s="431" t="str">
        <f>IF(E38="","",IF(VLOOKUP(F38,BDD!$AG$138:$AJ$161,3,0)=1,BDD!$AK$124,BDD!$AK$125))</f>
        <v/>
      </c>
      <c r="E38" s="431" t="str">
        <f>IF('Cava Doors order'!E16="","",'Cava Doors order'!F16)</f>
        <v/>
      </c>
      <c r="F38" t="str">
        <f>IF('Cava Doors order'!E16="","",IF(VLOOKUP('Cava Doors order'!E16,BDD!B:AQ,42,0)="","",VLOOKUP('Cava Doors order'!E16,BDD!B:AQ,42,0)))</f>
        <v/>
      </c>
      <c r="G38" t="str">
        <f>IF('Cava Doors order'!B16="","",'Cava Doors order'!B16)</f>
        <v/>
      </c>
      <c r="H38" t="str">
        <f>IF('Cava Doors order'!C16="","",IF('Cava Doors order'!$N$7="mm",'Cava Doors order'!C16/25.4,'Cava Doors order'!C16))</f>
        <v/>
      </c>
      <c r="I38" t="str">
        <f>IF('Cava Doors order'!D16="","",IF('Cava Doors order'!$N$7="mm",'Cava Doors order'!D16/25.4,'Cava Doors order'!D16))</f>
        <v/>
      </c>
      <c r="J38" t="str">
        <f>IF('Cava Doors order'!E16="","",18)</f>
        <v/>
      </c>
      <c r="K38" t="str">
        <f>IF('Cava Doors order'!F16="","",IF('Cava Doors order'!F16="no grain",0,0))</f>
        <v/>
      </c>
      <c r="L38" t="str">
        <f>IF('Cava Doors order'!F16="","",IF('Doors order'!F16="no grain",0,0))</f>
        <v/>
      </c>
      <c r="M38" t="str">
        <f>IF('Cava Doors order'!G16="","",IF(VLOOKUP('Cava Doors order'!G16,BDD!$Y:$AT,22,0)="","",VLOOKUP('Cava Doors order'!G16,BDD!$Y:$AT,22,0)))</f>
        <v/>
      </c>
      <c r="N38" t="str">
        <f>IF('Cava Doors order'!H16="","",IF(VLOOKUP('Cava Doors order'!H16,BDD!$Y:$AT,22,0)="","",VLOOKUP('Cava Doors order'!H16,BDD!$Y:$AT,22,0)))</f>
        <v/>
      </c>
      <c r="O38" t="str">
        <f>IF('Cava Doors order'!I16="","",IF(VLOOKUP('Cava Doors order'!I16,BDD!$Y:$AT,22,0)="","",VLOOKUP('Cava Doors order'!I16,BDD!$Y:$AT,22,0)))</f>
        <v/>
      </c>
      <c r="P38" t="str">
        <f>IF('Cava Doors order'!J16="","",IF(VLOOKUP('Cava Doors order'!J16,BDD!$Y:$AT,22,0)="","",VLOOKUP('Cava Doors order'!J16,BDD!$Y:$AT,22,0)))</f>
        <v/>
      </c>
      <c r="Q38" t="str">
        <f>IF('Cava Doors order'!G16="","",IF(VLOOKUP('Cava Doors order'!G16,BDD!$Y:$AE,7,0)=1,"TRUE","FALSE"))</f>
        <v/>
      </c>
      <c r="R38" t="str">
        <f>IF('Cava Doors order'!H16="","",IF(VLOOKUP('Cava Doors order'!H16,BDD!$Y:$AE,7,0)=1,"TRUE","FALSE"))</f>
        <v/>
      </c>
      <c r="S38" t="str">
        <f>IF('Cava Doors order'!I16="","",IF(VLOOKUP('Cava Doors order'!I16,BDD!$Y:$AE,7,0)=1,"TRUE","FALSE"))</f>
        <v/>
      </c>
      <c r="T38" s="418" t="str">
        <f>IF('Cava Doors order'!J16="","",IF(VLOOKUP('Cava Doors order'!J16,BDD!$Y:$AE,7,0)=1,"TRUE","FALSE"))</f>
        <v/>
      </c>
    </row>
    <row r="39" spans="1:20" x14ac:dyDescent="0.25">
      <c r="A39" s="422" t="str">
        <f>IF(B39="","",IF(C39="","",IF('Cava Doors order'!$G$7="","",RIGHT(CONCATENATE("000000",'Cava Doors order'!$G$7), 6))))</f>
        <v/>
      </c>
      <c r="B39" t="str">
        <f>IF(C39="","",IF('Cava Doors order'!$A$7="","",'Cava Doors order'!$A$7))</f>
        <v/>
      </c>
      <c r="C39" s="64" t="str">
        <f>IF(D39="","",IF('Cava Doors order'!$K$7="","",'Cava Doors order'!$K$7))</f>
        <v/>
      </c>
      <c r="D39" s="431" t="str">
        <f>IF(E39="","",IF(VLOOKUP(F39,BDD!$AG$138:$AJ$161,3,0)=1,BDD!$AK$124,BDD!$AK$125))</f>
        <v/>
      </c>
      <c r="E39" s="431" t="str">
        <f>IF('Cava Doors order'!E17="","",'Cava Doors order'!F17)</f>
        <v/>
      </c>
      <c r="F39" t="str">
        <f>IF('Cava Doors order'!E17="","",IF(VLOOKUP('Cava Doors order'!E17,BDD!B:AQ,42,0)="","",VLOOKUP('Cava Doors order'!E17,BDD!B:AQ,42,0)))</f>
        <v/>
      </c>
      <c r="G39" t="str">
        <f>IF('Cava Doors order'!B17="","",'Cava Doors order'!B17)</f>
        <v/>
      </c>
      <c r="H39" t="str">
        <f>IF('Cava Doors order'!C17="","",IF('Cava Doors order'!$N$7="mm",'Cava Doors order'!C17/25.4,'Cava Doors order'!C17))</f>
        <v/>
      </c>
      <c r="I39" t="str">
        <f>IF('Cava Doors order'!D17="","",IF('Cava Doors order'!$N$7="mm",'Cava Doors order'!D17/25.4,'Cava Doors order'!D17))</f>
        <v/>
      </c>
      <c r="J39" t="str">
        <f>IF('Cava Doors order'!E17="","",18)</f>
        <v/>
      </c>
      <c r="K39" t="str">
        <f>IF('Cava Doors order'!F17="","",IF('Cava Doors order'!F17="no grain",0,0))</f>
        <v/>
      </c>
      <c r="L39" t="str">
        <f>IF('Cava Doors order'!F17="","",IF('Doors order'!F17="no grain",0,0))</f>
        <v/>
      </c>
      <c r="M39" t="str">
        <f>IF('Cava Doors order'!G17="","",IF(VLOOKUP('Cava Doors order'!G17,BDD!$Y:$AT,22,0)="","",VLOOKUP('Cava Doors order'!G17,BDD!$Y:$AT,22,0)))</f>
        <v/>
      </c>
      <c r="N39" t="str">
        <f>IF('Cava Doors order'!H17="","",IF(VLOOKUP('Cava Doors order'!H17,BDD!$Y:$AT,22,0)="","",VLOOKUP('Cava Doors order'!H17,BDD!$Y:$AT,22,0)))</f>
        <v/>
      </c>
      <c r="O39" t="str">
        <f>IF('Cava Doors order'!I17="","",IF(VLOOKUP('Cava Doors order'!I17,BDD!$Y:$AT,22,0)="","",VLOOKUP('Cava Doors order'!I17,BDD!$Y:$AT,22,0)))</f>
        <v/>
      </c>
      <c r="P39" t="str">
        <f>IF('Cava Doors order'!J17="","",IF(VLOOKUP('Cava Doors order'!J17,BDD!$Y:$AT,22,0)="","",VLOOKUP('Cava Doors order'!J17,BDD!$Y:$AT,22,0)))</f>
        <v/>
      </c>
      <c r="Q39" t="str">
        <f>IF('Cava Doors order'!G17="","",IF(VLOOKUP('Cava Doors order'!G17,BDD!$Y:$AE,7,0)=1,"TRUE","FALSE"))</f>
        <v/>
      </c>
      <c r="R39" t="str">
        <f>IF('Cava Doors order'!H17="","",IF(VLOOKUP('Cava Doors order'!H17,BDD!$Y:$AE,7,0)=1,"TRUE","FALSE"))</f>
        <v/>
      </c>
      <c r="S39" t="str">
        <f>IF('Cava Doors order'!I17="","",IF(VLOOKUP('Cava Doors order'!I17,BDD!$Y:$AE,7,0)=1,"TRUE","FALSE"))</f>
        <v/>
      </c>
      <c r="T39" s="418" t="str">
        <f>IF('Cava Doors order'!J17="","",IF(VLOOKUP('Cava Doors order'!J17,BDD!$Y:$AE,7,0)=1,"TRUE","FALSE"))</f>
        <v/>
      </c>
    </row>
    <row r="40" spans="1:20" x14ac:dyDescent="0.25">
      <c r="A40" s="422" t="str">
        <f>IF(B40="","",IF(C40="","",IF('Cava Doors order'!$G$7="","",RIGHT(CONCATENATE("000000",'Cava Doors order'!$G$7), 6))))</f>
        <v/>
      </c>
      <c r="B40" t="str">
        <f>IF(C40="","",IF('Cava Doors order'!$A$7="","",'Cava Doors order'!$A$7))</f>
        <v/>
      </c>
      <c r="C40" s="64" t="str">
        <f>IF(D40="","",IF('Cava Doors order'!$K$7="","",'Cava Doors order'!$K$7))</f>
        <v/>
      </c>
      <c r="D40" s="431" t="str">
        <f>IF(E40="","",IF(VLOOKUP(F40,BDD!$AG$138:$AJ$161,3,0)=1,BDD!$AK$124,BDD!$AK$125))</f>
        <v/>
      </c>
      <c r="E40" s="431" t="str">
        <f>IF('Cava Doors order'!E18="","",'Cava Doors order'!F18)</f>
        <v/>
      </c>
      <c r="F40" t="str">
        <f>IF('Cava Doors order'!E18="","",IF(VLOOKUP('Cava Doors order'!E18,BDD!B:AQ,42,0)="","",VLOOKUP('Cava Doors order'!E18,BDD!B:AQ,42,0)))</f>
        <v/>
      </c>
      <c r="G40" t="str">
        <f>IF('Cava Doors order'!B18="","",'Cava Doors order'!B18)</f>
        <v/>
      </c>
      <c r="H40" t="str">
        <f>IF('Cava Doors order'!C18="","",IF('Cava Doors order'!$N$7="mm",'Cava Doors order'!C18/25.4,'Cava Doors order'!C18))</f>
        <v/>
      </c>
      <c r="I40" t="str">
        <f>IF('Cava Doors order'!D18="","",IF('Cava Doors order'!$N$7="mm",'Cava Doors order'!D18/25.4,'Cava Doors order'!D18))</f>
        <v/>
      </c>
      <c r="J40" t="str">
        <f>IF('Cava Doors order'!E18="","",18)</f>
        <v/>
      </c>
      <c r="K40" t="str">
        <f>IF('Cava Doors order'!F18="","",IF('Cava Doors order'!F18="no grain",0,0))</f>
        <v/>
      </c>
      <c r="L40" t="str">
        <f>IF('Cava Doors order'!F18="","",IF('Doors order'!F18="no grain",0,0))</f>
        <v/>
      </c>
      <c r="M40" t="str">
        <f>IF('Cava Doors order'!G18="","",IF(VLOOKUP('Cava Doors order'!G18,BDD!$Y:$AT,22,0)="","",VLOOKUP('Cava Doors order'!G18,BDD!$Y:$AT,22,0)))</f>
        <v/>
      </c>
      <c r="N40" t="str">
        <f>IF('Cava Doors order'!H18="","",IF(VLOOKUP('Cava Doors order'!H18,BDD!$Y:$AT,22,0)="","",VLOOKUP('Cava Doors order'!H18,BDD!$Y:$AT,22,0)))</f>
        <v/>
      </c>
      <c r="O40" t="str">
        <f>IF('Cava Doors order'!I18="","",IF(VLOOKUP('Cava Doors order'!I18,BDD!$Y:$AT,22,0)="","",VLOOKUP('Cava Doors order'!I18,BDD!$Y:$AT,22,0)))</f>
        <v/>
      </c>
      <c r="P40" t="str">
        <f>IF('Cava Doors order'!J18="","",IF(VLOOKUP('Cava Doors order'!J18,BDD!$Y:$AT,22,0)="","",VLOOKUP('Cava Doors order'!J18,BDD!$Y:$AT,22,0)))</f>
        <v/>
      </c>
      <c r="Q40" t="str">
        <f>IF('Cava Doors order'!G18="","",IF(VLOOKUP('Cava Doors order'!G18,BDD!$Y:$AE,7,0)=1,"TRUE","FALSE"))</f>
        <v/>
      </c>
      <c r="R40" t="str">
        <f>IF('Cava Doors order'!H18="","",IF(VLOOKUP('Cava Doors order'!H18,BDD!$Y:$AE,7,0)=1,"TRUE","FALSE"))</f>
        <v/>
      </c>
      <c r="S40" t="str">
        <f>IF('Cava Doors order'!I18="","",IF(VLOOKUP('Cava Doors order'!I18,BDD!$Y:$AE,7,0)=1,"TRUE","FALSE"))</f>
        <v/>
      </c>
      <c r="T40" s="418" t="str">
        <f>IF('Cava Doors order'!J18="","",IF(VLOOKUP('Cava Doors order'!J18,BDD!$Y:$AE,7,0)=1,"TRUE","FALSE"))</f>
        <v/>
      </c>
    </row>
    <row r="41" spans="1:20" x14ac:dyDescent="0.25">
      <c r="A41" s="422" t="str">
        <f>IF(B41="","",IF(C41="","",IF('Cava Doors order'!$G$7="","",RIGHT(CONCATENATE("000000",'Cava Doors order'!$G$7), 6))))</f>
        <v/>
      </c>
      <c r="B41" t="str">
        <f>IF(C41="","",IF('Cava Doors order'!$A$7="","",'Cava Doors order'!$A$7))</f>
        <v/>
      </c>
      <c r="C41" s="64" t="str">
        <f>IF(D41="","",IF('Cava Doors order'!$K$7="","",'Cava Doors order'!$K$7))</f>
        <v/>
      </c>
      <c r="D41" s="431" t="str">
        <f>IF(E41="","",IF(VLOOKUP(F41,BDD!$AG$138:$AJ$161,3,0)=1,BDD!$AK$124,BDD!$AK$125))</f>
        <v/>
      </c>
      <c r="E41" s="431" t="str">
        <f>IF('Cava Doors order'!E19="","",'Cava Doors order'!F19)</f>
        <v/>
      </c>
      <c r="F41" t="str">
        <f>IF('Cava Doors order'!E19="","",IF(VLOOKUP('Cava Doors order'!E19,BDD!B:AQ,42,0)="","",VLOOKUP('Cava Doors order'!E19,BDD!B:AQ,42,0)))</f>
        <v/>
      </c>
      <c r="G41" t="str">
        <f>IF('Cava Doors order'!B19="","",'Cava Doors order'!B19)</f>
        <v/>
      </c>
      <c r="H41" t="str">
        <f>IF('Cava Doors order'!C19="","",IF('Cava Doors order'!$N$7="mm",'Cava Doors order'!C19/25.4,'Cava Doors order'!C19))</f>
        <v/>
      </c>
      <c r="I41" t="str">
        <f>IF('Cava Doors order'!D19="","",IF('Cava Doors order'!$N$7="mm",'Cava Doors order'!D19/25.4,'Cava Doors order'!D19))</f>
        <v/>
      </c>
      <c r="J41" t="str">
        <f>IF('Cava Doors order'!E19="","",18)</f>
        <v/>
      </c>
      <c r="K41" t="str">
        <f>IF('Cava Doors order'!F19="","",IF('Cava Doors order'!F19="no grain",0,0))</f>
        <v/>
      </c>
      <c r="L41" t="str">
        <f>IF('Cava Doors order'!F19="","",IF('Doors order'!F19="no grain",0,0))</f>
        <v/>
      </c>
      <c r="M41" t="str">
        <f>IF('Cava Doors order'!G19="","",IF(VLOOKUP('Cava Doors order'!G19,BDD!$Y:$AT,22,0)="","",VLOOKUP('Cava Doors order'!G19,BDD!$Y:$AT,22,0)))</f>
        <v/>
      </c>
      <c r="N41" t="str">
        <f>IF('Cava Doors order'!H19="","",IF(VLOOKUP('Cava Doors order'!H19,BDD!$Y:$AT,22,0)="","",VLOOKUP('Cava Doors order'!H19,BDD!$Y:$AT,22,0)))</f>
        <v/>
      </c>
      <c r="O41" t="str">
        <f>IF('Cava Doors order'!I19="","",IF(VLOOKUP('Cava Doors order'!I19,BDD!$Y:$AT,22,0)="","",VLOOKUP('Cava Doors order'!I19,BDD!$Y:$AT,22,0)))</f>
        <v/>
      </c>
      <c r="P41" t="str">
        <f>IF('Cava Doors order'!J19="","",IF(VLOOKUP('Cava Doors order'!J19,BDD!$Y:$AT,22,0)="","",VLOOKUP('Cava Doors order'!J19,BDD!$Y:$AT,22,0)))</f>
        <v/>
      </c>
      <c r="Q41" t="str">
        <f>IF('Cava Doors order'!G19="","",IF(VLOOKUP('Cava Doors order'!G19,BDD!$Y:$AE,7,0)=1,"TRUE","FALSE"))</f>
        <v/>
      </c>
      <c r="R41" t="str">
        <f>IF('Cava Doors order'!H19="","",IF(VLOOKUP('Cava Doors order'!H19,BDD!$Y:$AE,7,0)=1,"TRUE","FALSE"))</f>
        <v/>
      </c>
      <c r="S41" t="str">
        <f>IF('Cava Doors order'!I19="","",IF(VLOOKUP('Cava Doors order'!I19,BDD!$Y:$AE,7,0)=1,"TRUE","FALSE"))</f>
        <v/>
      </c>
      <c r="T41" s="418" t="str">
        <f>IF('Cava Doors order'!J19="","",IF(VLOOKUP('Cava Doors order'!J19,BDD!$Y:$AE,7,0)=1,"TRUE","FALSE"))</f>
        <v/>
      </c>
    </row>
    <row r="42" spans="1:20" x14ac:dyDescent="0.25">
      <c r="A42" s="422" t="str">
        <f>IF(B42="","",IF(C42="","",IF('Cava Doors order'!$G$7="","",RIGHT(CONCATENATE("000000",'Cava Doors order'!$G$7), 6))))</f>
        <v/>
      </c>
      <c r="B42" t="str">
        <f>IF(C42="","",IF('Cava Doors order'!$A$7="","",'Cava Doors order'!$A$7))</f>
        <v/>
      </c>
      <c r="C42" s="64" t="str">
        <f>IF(D42="","",IF('Cava Doors order'!$K$7="","",'Cava Doors order'!$K$7))</f>
        <v/>
      </c>
      <c r="D42" s="431" t="str">
        <f>IF(E42="","",IF(VLOOKUP(F42,BDD!$AG$138:$AJ$161,3,0)=1,BDD!$AK$124,BDD!$AK$125))</f>
        <v/>
      </c>
      <c r="E42" s="431" t="str">
        <f>IF('Cava Doors order'!E20="","",'Cava Doors order'!F20)</f>
        <v/>
      </c>
      <c r="F42" t="str">
        <f>IF('Cava Doors order'!E20="","",IF(VLOOKUP('Cava Doors order'!E20,BDD!B:AQ,42,0)="","",VLOOKUP('Cava Doors order'!E20,BDD!B:AQ,42,0)))</f>
        <v/>
      </c>
      <c r="G42" t="str">
        <f>IF('Cava Doors order'!B20="","",'Cava Doors order'!B20)</f>
        <v/>
      </c>
      <c r="H42" t="str">
        <f>IF('Cava Doors order'!C20="","",IF('Cava Doors order'!$N$7="mm",'Cava Doors order'!C20/25.4,'Cava Doors order'!C20))</f>
        <v/>
      </c>
      <c r="I42" t="str">
        <f>IF('Cava Doors order'!D20="","",IF('Cava Doors order'!$N$7="mm",'Cava Doors order'!D20/25.4,'Cava Doors order'!D20))</f>
        <v/>
      </c>
      <c r="J42" t="str">
        <f>IF('Cava Doors order'!E20="","",18)</f>
        <v/>
      </c>
      <c r="K42" t="str">
        <f>IF('Cava Doors order'!F20="","",IF('Cava Doors order'!F20="no grain",0,0))</f>
        <v/>
      </c>
      <c r="L42" t="str">
        <f>IF('Cava Doors order'!F20="","",IF('Doors order'!F20="no grain",0,0))</f>
        <v/>
      </c>
      <c r="M42" t="str">
        <f>IF('Cava Doors order'!G20="","",IF(VLOOKUP('Cava Doors order'!G20,BDD!$Y:$AT,22,0)="","",VLOOKUP('Cava Doors order'!G20,BDD!$Y:$AT,22,0)))</f>
        <v/>
      </c>
      <c r="N42" t="str">
        <f>IF('Cava Doors order'!H20="","",IF(VLOOKUP('Cava Doors order'!H20,BDD!$Y:$AT,22,0)="","",VLOOKUP('Cava Doors order'!H20,BDD!$Y:$AT,22,0)))</f>
        <v/>
      </c>
      <c r="O42" t="str">
        <f>IF('Cava Doors order'!I20="","",IF(VLOOKUP('Cava Doors order'!I20,BDD!$Y:$AT,22,0)="","",VLOOKUP('Cava Doors order'!I20,BDD!$Y:$AT,22,0)))</f>
        <v/>
      </c>
      <c r="P42" t="str">
        <f>IF('Cava Doors order'!J20="","",IF(VLOOKUP('Cava Doors order'!J20,BDD!$Y:$AT,22,0)="","",VLOOKUP('Cava Doors order'!J20,BDD!$Y:$AT,22,0)))</f>
        <v/>
      </c>
      <c r="Q42" t="str">
        <f>IF('Cava Doors order'!G20="","",IF(VLOOKUP('Cava Doors order'!G20,BDD!$Y:$AE,7,0)=1,"TRUE","FALSE"))</f>
        <v/>
      </c>
      <c r="R42" t="str">
        <f>IF('Cava Doors order'!H20="","",IF(VLOOKUP('Cava Doors order'!H20,BDD!$Y:$AE,7,0)=1,"TRUE","FALSE"))</f>
        <v/>
      </c>
      <c r="S42" t="str">
        <f>IF('Cava Doors order'!I20="","",IF(VLOOKUP('Cava Doors order'!I20,BDD!$Y:$AE,7,0)=1,"TRUE","FALSE"))</f>
        <v/>
      </c>
      <c r="T42" s="418" t="str">
        <f>IF('Cava Doors order'!J20="","",IF(VLOOKUP('Cava Doors order'!J20,BDD!$Y:$AE,7,0)=1,"TRUE","FALSE"))</f>
        <v/>
      </c>
    </row>
    <row r="43" spans="1:20" x14ac:dyDescent="0.25">
      <c r="A43" s="422" t="str">
        <f>IF(B43="","",IF(C43="","",IF('Cava Doors order'!$G$7="","",RIGHT(CONCATENATE("000000",'Cava Doors order'!$G$7), 6))))</f>
        <v/>
      </c>
      <c r="B43" t="str">
        <f>IF(C43="","",IF('Cava Doors order'!$A$7="","",'Cava Doors order'!$A$7))</f>
        <v/>
      </c>
      <c r="C43" s="64" t="str">
        <f>IF(D43="","",IF('Cava Doors order'!$K$7="","",'Cava Doors order'!$K$7))</f>
        <v/>
      </c>
      <c r="D43" s="431" t="str">
        <f>IF(E43="","",IF(VLOOKUP(F43,BDD!$AG$138:$AJ$161,3,0)=1,BDD!$AK$124,BDD!$AK$125))</f>
        <v/>
      </c>
      <c r="E43" s="431" t="str">
        <f>IF('Cava Doors order'!E21="","",'Cava Doors order'!F21)</f>
        <v/>
      </c>
      <c r="F43" t="str">
        <f>IF('Cava Doors order'!E21="","",IF(VLOOKUP('Cava Doors order'!E21,BDD!B:AQ,42,0)="","",VLOOKUP('Cava Doors order'!E21,BDD!B:AQ,42,0)))</f>
        <v/>
      </c>
      <c r="G43" t="str">
        <f>IF('Cava Doors order'!B21="","",'Cava Doors order'!B21)</f>
        <v/>
      </c>
      <c r="H43" t="str">
        <f>IF('Cava Doors order'!C21="","",IF('Cava Doors order'!$N$7="mm",'Cava Doors order'!C21/25.4,'Cava Doors order'!C21))</f>
        <v/>
      </c>
      <c r="I43" t="str">
        <f>IF('Cava Doors order'!D21="","",IF('Cava Doors order'!$N$7="mm",'Cava Doors order'!D21/25.4,'Cava Doors order'!D21))</f>
        <v/>
      </c>
      <c r="J43" t="str">
        <f>IF('Cava Doors order'!E21="","",18)</f>
        <v/>
      </c>
      <c r="K43" t="str">
        <f>IF('Cava Doors order'!F21="","",IF('Cava Doors order'!F21="no grain",0,0))</f>
        <v/>
      </c>
      <c r="L43" t="str">
        <f>IF('Cava Doors order'!F21="","",IF('Doors order'!F21="no grain",0,0))</f>
        <v/>
      </c>
      <c r="M43" t="str">
        <f>IF('Cava Doors order'!G21="","",IF(VLOOKUP('Cava Doors order'!G21,BDD!$Y:$AT,22,0)="","",VLOOKUP('Cava Doors order'!G21,BDD!$Y:$AT,22,0)))</f>
        <v/>
      </c>
      <c r="N43" t="str">
        <f>IF('Cava Doors order'!H21="","",IF(VLOOKUP('Cava Doors order'!H21,BDD!$Y:$AT,22,0)="","",VLOOKUP('Cava Doors order'!H21,BDD!$Y:$AT,22,0)))</f>
        <v/>
      </c>
      <c r="O43" t="str">
        <f>IF('Cava Doors order'!I21="","",IF(VLOOKUP('Cava Doors order'!I21,BDD!$Y:$AT,22,0)="","",VLOOKUP('Cava Doors order'!I21,BDD!$Y:$AT,22,0)))</f>
        <v/>
      </c>
      <c r="P43" t="str">
        <f>IF('Cava Doors order'!J21="","",IF(VLOOKUP('Cava Doors order'!J21,BDD!$Y:$AT,22,0)="","",VLOOKUP('Cava Doors order'!J21,BDD!$Y:$AT,22,0)))</f>
        <v/>
      </c>
      <c r="Q43" t="str">
        <f>IF('Cava Doors order'!G21="","",IF(VLOOKUP('Cava Doors order'!G21,BDD!$Y:$AE,7,0)=1,"TRUE","FALSE"))</f>
        <v/>
      </c>
      <c r="R43" t="str">
        <f>IF('Cava Doors order'!H21="","",IF(VLOOKUP('Cava Doors order'!H21,BDD!$Y:$AE,7,0)=1,"TRUE","FALSE"))</f>
        <v/>
      </c>
      <c r="S43" t="str">
        <f>IF('Cava Doors order'!I21="","",IF(VLOOKUP('Cava Doors order'!I21,BDD!$Y:$AE,7,0)=1,"TRUE","FALSE"))</f>
        <v/>
      </c>
      <c r="T43" s="418" t="str">
        <f>IF('Cava Doors order'!J21="","",IF(VLOOKUP('Cava Doors order'!J21,BDD!$Y:$AE,7,0)=1,"TRUE","FALSE"))</f>
        <v/>
      </c>
    </row>
    <row r="44" spans="1:20" x14ac:dyDescent="0.25">
      <c r="A44" s="422" t="str">
        <f>IF(B44="","",IF(C44="","",IF('Cava Doors order'!$G$7="","",RIGHT(CONCATENATE("000000",'Cava Doors order'!$G$7), 6))))</f>
        <v/>
      </c>
      <c r="B44" t="str">
        <f>IF(C44="","",IF('Cava Doors order'!$A$7="","",'Cava Doors order'!$A$7))</f>
        <v/>
      </c>
      <c r="C44" s="64" t="str">
        <f>IF(D44="","",IF('Cava Doors order'!$K$7="","",'Cava Doors order'!$K$7))</f>
        <v/>
      </c>
      <c r="D44" s="431" t="str">
        <f>IF(E44="","",IF(VLOOKUP(F44,BDD!$AG$138:$AJ$161,3,0)=1,BDD!$AK$124,BDD!$AK$125))</f>
        <v/>
      </c>
      <c r="E44" s="431" t="str">
        <f>IF('Cava Doors order'!E22="","",'Cava Doors order'!F22)</f>
        <v/>
      </c>
      <c r="F44" t="str">
        <f>IF('Cava Doors order'!E22="","",IF(VLOOKUP('Cava Doors order'!E22,BDD!B:AQ,42,0)="","",VLOOKUP('Cava Doors order'!E22,BDD!B:AQ,42,0)))</f>
        <v/>
      </c>
      <c r="G44" t="str">
        <f>IF('Cava Doors order'!B22="","",'Cava Doors order'!B22)</f>
        <v/>
      </c>
      <c r="H44" t="str">
        <f>IF('Cava Doors order'!C22="","",IF('Cava Doors order'!$N$7="mm",'Cava Doors order'!C22/25.4,'Cava Doors order'!C22))</f>
        <v/>
      </c>
      <c r="I44" t="str">
        <f>IF('Cava Doors order'!D22="","",IF('Cava Doors order'!$N$7="mm",'Cava Doors order'!D22/25.4,'Cava Doors order'!D22))</f>
        <v/>
      </c>
      <c r="J44" t="str">
        <f>IF('Cava Doors order'!E22="","",18)</f>
        <v/>
      </c>
      <c r="K44" t="str">
        <f>IF('Cava Doors order'!F22="","",IF('Cava Doors order'!F22="no grain",0,0))</f>
        <v/>
      </c>
      <c r="L44" t="str">
        <f>IF('Cava Doors order'!F22="","",IF('Doors order'!F22="no grain",0,0))</f>
        <v/>
      </c>
      <c r="M44" t="str">
        <f>IF('Cava Doors order'!G22="","",IF(VLOOKUP('Cava Doors order'!G22,BDD!$Y:$AT,22,0)="","",VLOOKUP('Cava Doors order'!G22,BDD!$Y:$AT,22,0)))</f>
        <v/>
      </c>
      <c r="N44" t="str">
        <f>IF('Cava Doors order'!H22="","",IF(VLOOKUP('Cava Doors order'!H22,BDD!$Y:$AT,22,0)="","",VLOOKUP('Cava Doors order'!H22,BDD!$Y:$AT,22,0)))</f>
        <v/>
      </c>
      <c r="O44" t="str">
        <f>IF('Cava Doors order'!I22="","",IF(VLOOKUP('Cava Doors order'!I22,BDD!$Y:$AT,22,0)="","",VLOOKUP('Cava Doors order'!I22,BDD!$Y:$AT,22,0)))</f>
        <v/>
      </c>
      <c r="P44" t="str">
        <f>IF('Cava Doors order'!J22="","",IF(VLOOKUP('Cava Doors order'!J22,BDD!$Y:$AT,22,0)="","",VLOOKUP('Cava Doors order'!J22,BDD!$Y:$AT,22,0)))</f>
        <v/>
      </c>
      <c r="Q44" t="str">
        <f>IF('Cava Doors order'!G22="","",IF(VLOOKUP('Cava Doors order'!G22,BDD!$Y:$AE,7,0)=1,"TRUE","FALSE"))</f>
        <v/>
      </c>
      <c r="R44" t="str">
        <f>IF('Cava Doors order'!H22="","",IF(VLOOKUP('Cava Doors order'!H22,BDD!$Y:$AE,7,0)=1,"TRUE","FALSE"))</f>
        <v/>
      </c>
      <c r="S44" t="str">
        <f>IF('Cava Doors order'!I22="","",IF(VLOOKUP('Cava Doors order'!I22,BDD!$Y:$AE,7,0)=1,"TRUE","FALSE"))</f>
        <v/>
      </c>
      <c r="T44" s="418" t="str">
        <f>IF('Cava Doors order'!J22="","",IF(VLOOKUP('Cava Doors order'!J22,BDD!$Y:$AE,7,0)=1,"TRUE","FALSE"))</f>
        <v/>
      </c>
    </row>
    <row r="45" spans="1:20" x14ac:dyDescent="0.25">
      <c r="A45" s="422" t="str">
        <f>IF(B45="","",IF(C45="","",IF('Cava Doors order'!$G$7="","",RIGHT(CONCATENATE("000000",'Cava Doors order'!$G$7), 6))))</f>
        <v/>
      </c>
      <c r="B45" t="str">
        <f>IF(C45="","",IF('Cava Doors order'!$A$7="","",'Cava Doors order'!$A$7))</f>
        <v/>
      </c>
      <c r="C45" s="64" t="str">
        <f>IF(D45="","",IF('Cava Doors order'!$K$7="","",'Cava Doors order'!$K$7))</f>
        <v/>
      </c>
      <c r="D45" s="431" t="str">
        <f>IF(E45="","",IF(VLOOKUP(F45,BDD!$AG$138:$AJ$161,3,0)=1,BDD!$AK$124,BDD!$AK$125))</f>
        <v/>
      </c>
      <c r="E45" s="431" t="str">
        <f>IF('Cava Doors order'!E23="","",'Cava Doors order'!F23)</f>
        <v/>
      </c>
      <c r="F45" t="str">
        <f>IF('Cava Doors order'!E23="","",IF(VLOOKUP('Cava Doors order'!E23,BDD!B:AQ,42,0)="","",VLOOKUP('Cava Doors order'!E23,BDD!B:AQ,42,0)))</f>
        <v/>
      </c>
      <c r="G45" t="str">
        <f>IF('Cava Doors order'!B23="","",'Cava Doors order'!B23)</f>
        <v/>
      </c>
      <c r="H45" t="str">
        <f>IF('Cava Doors order'!C23="","",IF('Cava Doors order'!$N$7="mm",'Cava Doors order'!C23/25.4,'Cava Doors order'!C23))</f>
        <v/>
      </c>
      <c r="I45" t="str">
        <f>IF('Cava Doors order'!D23="","",IF('Cava Doors order'!$N$7="mm",'Cava Doors order'!D23/25.4,'Cava Doors order'!D23))</f>
        <v/>
      </c>
      <c r="J45" t="str">
        <f>IF('Cava Doors order'!E23="","",18)</f>
        <v/>
      </c>
      <c r="K45" t="str">
        <f>IF('Cava Doors order'!F23="","",IF('Cava Doors order'!F23="no grain",0,0))</f>
        <v/>
      </c>
      <c r="L45" t="str">
        <f>IF('Cava Doors order'!F23="","",IF('Doors order'!F23="no grain",0,0))</f>
        <v/>
      </c>
      <c r="M45" t="str">
        <f>IF('Cava Doors order'!G23="","",IF(VLOOKUP('Cava Doors order'!G23,BDD!$Y:$AT,22,0)="","",VLOOKUP('Cava Doors order'!G23,BDD!$Y:$AT,22,0)))</f>
        <v/>
      </c>
      <c r="N45" t="str">
        <f>IF('Cava Doors order'!H23="","",IF(VLOOKUP('Cava Doors order'!H23,BDD!$Y:$AT,22,0)="","",VLOOKUP('Cava Doors order'!H23,BDD!$Y:$AT,22,0)))</f>
        <v/>
      </c>
      <c r="O45" t="str">
        <f>IF('Cava Doors order'!I23="","",IF(VLOOKUP('Cava Doors order'!I23,BDD!$Y:$AT,22,0)="","",VLOOKUP('Cava Doors order'!I23,BDD!$Y:$AT,22,0)))</f>
        <v/>
      </c>
      <c r="P45" t="str">
        <f>IF('Cava Doors order'!J23="","",IF(VLOOKUP('Cava Doors order'!J23,BDD!$Y:$AT,22,0)="","",VLOOKUP('Cava Doors order'!J23,BDD!$Y:$AT,22,0)))</f>
        <v/>
      </c>
      <c r="Q45" t="str">
        <f>IF('Cava Doors order'!G23="","",IF(VLOOKUP('Cava Doors order'!G23,BDD!$Y:$AE,7,0)=1,"TRUE","FALSE"))</f>
        <v/>
      </c>
      <c r="R45" t="str">
        <f>IF('Cava Doors order'!H23="","",IF(VLOOKUP('Cava Doors order'!H23,BDD!$Y:$AE,7,0)=1,"TRUE","FALSE"))</f>
        <v/>
      </c>
      <c r="S45" t="str">
        <f>IF('Cava Doors order'!I23="","",IF(VLOOKUP('Cava Doors order'!I23,BDD!$Y:$AE,7,0)=1,"TRUE","FALSE"))</f>
        <v/>
      </c>
      <c r="T45" s="418" t="str">
        <f>IF('Cava Doors order'!J23="","",IF(VLOOKUP('Cava Doors order'!J23,BDD!$Y:$AE,7,0)=1,"TRUE","FALSE"))</f>
        <v/>
      </c>
    </row>
    <row r="46" spans="1:20" x14ac:dyDescent="0.25">
      <c r="A46" s="422" t="str">
        <f>IF(B46="","",IF(C46="","",IF('Cava Doors order'!$G$7="","",RIGHT(CONCATENATE("000000",'Cava Doors order'!$G$7), 6))))</f>
        <v/>
      </c>
      <c r="B46" t="str">
        <f>IF(C46="","",IF('Cava Doors order'!$A$7="","",'Cava Doors order'!$A$7))</f>
        <v/>
      </c>
      <c r="C46" s="64" t="str">
        <f>IF(D46="","",IF('Cava Doors order'!$K$7="","",'Cava Doors order'!$K$7))</f>
        <v/>
      </c>
      <c r="D46" s="431" t="str">
        <f>IF(E46="","",IF(VLOOKUP(F46,BDD!$AG$138:$AJ$161,3,0)=1,BDD!$AK$124,BDD!$AK$125))</f>
        <v/>
      </c>
      <c r="E46" s="431" t="str">
        <f>IF('Cava Doors order'!E24="","",'Cava Doors order'!F24)</f>
        <v/>
      </c>
      <c r="F46" t="str">
        <f>IF('Cava Doors order'!E24="","",IF(VLOOKUP('Cava Doors order'!E24,BDD!B:AQ,42,0)="","",VLOOKUP('Cava Doors order'!E24,BDD!B:AQ,42,0)))</f>
        <v/>
      </c>
      <c r="G46" t="str">
        <f>IF('Cava Doors order'!B24="","",'Cava Doors order'!B24)</f>
        <v/>
      </c>
      <c r="H46" t="str">
        <f>IF('Cava Doors order'!C24="","",IF('Cava Doors order'!$N$7="mm",'Cava Doors order'!C24/25.4,'Cava Doors order'!C24))</f>
        <v/>
      </c>
      <c r="I46" t="str">
        <f>IF('Cava Doors order'!D24="","",IF('Cava Doors order'!$N$7="mm",'Cava Doors order'!D24/25.4,'Cava Doors order'!D24))</f>
        <v/>
      </c>
      <c r="J46" t="str">
        <f>IF('Cava Doors order'!E24="","",18)</f>
        <v/>
      </c>
      <c r="K46" t="str">
        <f>IF('Cava Doors order'!F24="","",IF('Cava Doors order'!F24="no grain",0,0))</f>
        <v/>
      </c>
      <c r="L46" t="str">
        <f>IF('Cava Doors order'!F24="","",IF('Doors order'!F24="no grain",0,0))</f>
        <v/>
      </c>
      <c r="M46" t="str">
        <f>IF('Cava Doors order'!G24="","",IF(VLOOKUP('Cava Doors order'!G24,BDD!$Y:$AT,22,0)="","",VLOOKUP('Cava Doors order'!G24,BDD!$Y:$AT,22,0)))</f>
        <v/>
      </c>
      <c r="N46" t="str">
        <f>IF('Cava Doors order'!H24="","",IF(VLOOKUP('Cava Doors order'!H24,BDD!$Y:$AT,22,0)="","",VLOOKUP('Cava Doors order'!H24,BDD!$Y:$AT,22,0)))</f>
        <v/>
      </c>
      <c r="O46" t="str">
        <f>IF('Cava Doors order'!I24="","",IF(VLOOKUP('Cava Doors order'!I24,BDD!$Y:$AT,22,0)="","",VLOOKUP('Cava Doors order'!I24,BDD!$Y:$AT,22,0)))</f>
        <v/>
      </c>
      <c r="P46" t="str">
        <f>IF('Cava Doors order'!J24="","",IF(VLOOKUP('Cava Doors order'!J24,BDD!$Y:$AT,22,0)="","",VLOOKUP('Cava Doors order'!J24,BDD!$Y:$AT,22,0)))</f>
        <v/>
      </c>
      <c r="Q46" t="str">
        <f>IF('Cava Doors order'!G24="","",IF(VLOOKUP('Cava Doors order'!G24,BDD!$Y:$AE,7,0)=1,"TRUE","FALSE"))</f>
        <v/>
      </c>
      <c r="R46" t="str">
        <f>IF('Cava Doors order'!H24="","",IF(VLOOKUP('Cava Doors order'!H24,BDD!$Y:$AE,7,0)=1,"TRUE","FALSE"))</f>
        <v/>
      </c>
      <c r="S46" t="str">
        <f>IF('Cava Doors order'!I24="","",IF(VLOOKUP('Cava Doors order'!I24,BDD!$Y:$AE,7,0)=1,"TRUE","FALSE"))</f>
        <v/>
      </c>
      <c r="T46" s="418" t="str">
        <f>IF('Cava Doors order'!J24="","",IF(VLOOKUP('Cava Doors order'!J24,BDD!$Y:$AE,7,0)=1,"TRUE","FALSE"))</f>
        <v/>
      </c>
    </row>
    <row r="47" spans="1:20" x14ac:dyDescent="0.25">
      <c r="A47" s="422" t="str">
        <f>IF(B47="","",IF(C47="","",IF('Cava Doors order'!$G$7="","",RIGHT(CONCATENATE("000000",'Cava Doors order'!$G$7), 6))))</f>
        <v/>
      </c>
      <c r="B47" t="str">
        <f>IF(C47="","",IF('Cava Doors order'!$A$7="","",'Cava Doors order'!$A$7))</f>
        <v/>
      </c>
      <c r="C47" s="64" t="str">
        <f>IF(D47="","",IF('Cava Doors order'!$K$7="","",'Cava Doors order'!$K$7))</f>
        <v/>
      </c>
      <c r="D47" s="431" t="str">
        <f>IF(E47="","",IF(VLOOKUP(F47,BDD!$AG$138:$AJ$161,3,0)=1,BDD!$AK$124,BDD!$AK$125))</f>
        <v/>
      </c>
      <c r="E47" s="431" t="str">
        <f>IF('Cava Doors order'!E25="","",'Cava Doors order'!F25)</f>
        <v/>
      </c>
      <c r="F47" t="str">
        <f>IF('Cava Doors order'!E25="","",IF(VLOOKUP('Cava Doors order'!E25,BDD!B:AQ,42,0)="","",VLOOKUP('Cava Doors order'!E25,BDD!B:AQ,42,0)))</f>
        <v/>
      </c>
      <c r="G47" t="str">
        <f>IF('Cava Doors order'!B25="","",'Cava Doors order'!B25)</f>
        <v/>
      </c>
      <c r="H47" t="str">
        <f>IF('Cava Doors order'!C25="","",IF('Cava Doors order'!$N$7="mm",'Cava Doors order'!C25/25.4,'Cava Doors order'!C25))</f>
        <v/>
      </c>
      <c r="I47" t="str">
        <f>IF('Cava Doors order'!D25="","",IF('Cava Doors order'!$N$7="mm",'Cava Doors order'!D25/25.4,'Cava Doors order'!D25))</f>
        <v/>
      </c>
      <c r="J47" t="str">
        <f>IF('Cava Doors order'!E25="","",18)</f>
        <v/>
      </c>
      <c r="K47" t="str">
        <f>IF('Cava Doors order'!F25="","",IF('Cava Doors order'!F25="no grain",0,0))</f>
        <v/>
      </c>
      <c r="L47" t="str">
        <f>IF('Cava Doors order'!F25="","",IF('Doors order'!F25="no grain",0,0))</f>
        <v/>
      </c>
      <c r="M47" t="str">
        <f>IF('Cava Doors order'!G25="","",IF(VLOOKUP('Cava Doors order'!G25,BDD!$Y:$AT,22,0)="","",VLOOKUP('Cava Doors order'!G25,BDD!$Y:$AT,22,0)))</f>
        <v/>
      </c>
      <c r="N47" t="str">
        <f>IF('Cava Doors order'!H25="","",IF(VLOOKUP('Cava Doors order'!H25,BDD!$Y:$AT,22,0)="","",VLOOKUP('Cava Doors order'!H25,BDD!$Y:$AT,22,0)))</f>
        <v/>
      </c>
      <c r="O47" t="str">
        <f>IF('Cava Doors order'!I25="","",IF(VLOOKUP('Cava Doors order'!I25,BDD!$Y:$AT,22,0)="","",VLOOKUP('Cava Doors order'!I25,BDD!$Y:$AT,22,0)))</f>
        <v/>
      </c>
      <c r="P47" t="str">
        <f>IF('Cava Doors order'!J25="","",IF(VLOOKUP('Cava Doors order'!J25,BDD!$Y:$AT,22,0)="","",VLOOKUP('Cava Doors order'!J25,BDD!$Y:$AT,22,0)))</f>
        <v/>
      </c>
      <c r="Q47" t="str">
        <f>IF('Cava Doors order'!G25="","",IF(VLOOKUP('Cava Doors order'!G25,BDD!$Y:$AE,7,0)=1,"TRUE","FALSE"))</f>
        <v/>
      </c>
      <c r="R47" t="str">
        <f>IF('Cava Doors order'!H25="","",IF(VLOOKUP('Cava Doors order'!H25,BDD!$Y:$AE,7,0)=1,"TRUE","FALSE"))</f>
        <v/>
      </c>
      <c r="S47" t="str">
        <f>IF('Cava Doors order'!I25="","",IF(VLOOKUP('Cava Doors order'!I25,BDD!$Y:$AE,7,0)=1,"TRUE","FALSE"))</f>
        <v/>
      </c>
      <c r="T47" s="418" t="str">
        <f>IF('Cava Doors order'!J25="","",IF(VLOOKUP('Cava Doors order'!J25,BDD!$Y:$AE,7,0)=1,"TRUE","FALSE"))</f>
        <v/>
      </c>
    </row>
    <row r="48" spans="1:20" x14ac:dyDescent="0.25">
      <c r="A48" s="422" t="str">
        <f>IF(B48="","",IF(C48="","",IF('Cava Doors order'!$G$7="","",RIGHT(CONCATENATE("000000",'Cava Doors order'!$G$7), 6))))</f>
        <v/>
      </c>
      <c r="B48" t="str">
        <f>IF(C48="","",IF('Cava Doors order'!$A$7="","",'Cava Doors order'!$A$7))</f>
        <v/>
      </c>
      <c r="C48" s="64" t="str">
        <f>IF(D48="","",IF('Cava Doors order'!$K$7="","",'Cava Doors order'!$K$7))</f>
        <v/>
      </c>
      <c r="D48" s="431" t="str">
        <f>IF(E48="","",IF(VLOOKUP(F48,BDD!$AG$138:$AJ$161,3,0)=1,BDD!$AK$124,BDD!$AK$125))</f>
        <v/>
      </c>
      <c r="E48" s="431" t="str">
        <f>IF('Cava Doors order'!E26="","",'Cava Doors order'!F26)</f>
        <v/>
      </c>
      <c r="F48" t="str">
        <f>IF('Cava Doors order'!E26="","",IF(VLOOKUP('Cava Doors order'!E26,BDD!B:AQ,42,0)="","",VLOOKUP('Cava Doors order'!E26,BDD!B:AQ,42,0)))</f>
        <v/>
      </c>
      <c r="G48" t="str">
        <f>IF('Cava Doors order'!B26="","",'Cava Doors order'!B26)</f>
        <v/>
      </c>
      <c r="H48" t="str">
        <f>IF('Cava Doors order'!C26="","",IF('Cava Doors order'!$N$7="mm",'Cava Doors order'!C26/25.4,'Cava Doors order'!C26))</f>
        <v/>
      </c>
      <c r="I48" t="str">
        <f>IF('Cava Doors order'!D26="","",IF('Cava Doors order'!$N$7="mm",'Cava Doors order'!D26/25.4,'Cava Doors order'!D26))</f>
        <v/>
      </c>
      <c r="J48" t="str">
        <f>IF('Cava Doors order'!E26="","",18)</f>
        <v/>
      </c>
      <c r="K48" t="str">
        <f>IF('Cava Doors order'!F26="","",IF('Cava Doors order'!F26="no grain",0,0))</f>
        <v/>
      </c>
      <c r="L48" t="str">
        <f>IF('Cava Doors order'!F26="","",IF('Doors order'!F26="no grain",0,0))</f>
        <v/>
      </c>
      <c r="M48" t="str">
        <f>IF('Cava Doors order'!G26="","",IF(VLOOKUP('Cava Doors order'!G26,BDD!$Y:$AT,22,0)="","",VLOOKUP('Cava Doors order'!G26,BDD!$Y:$AT,22,0)))</f>
        <v/>
      </c>
      <c r="N48" t="str">
        <f>IF('Cava Doors order'!H26="","",IF(VLOOKUP('Cava Doors order'!H26,BDD!$Y:$AT,22,0)="","",VLOOKUP('Cava Doors order'!H26,BDD!$Y:$AT,22,0)))</f>
        <v/>
      </c>
      <c r="O48" t="str">
        <f>IF('Cava Doors order'!I26="","",IF(VLOOKUP('Cava Doors order'!I26,BDD!$Y:$AT,22,0)="","",VLOOKUP('Cava Doors order'!I26,BDD!$Y:$AT,22,0)))</f>
        <v/>
      </c>
      <c r="P48" t="str">
        <f>IF('Cava Doors order'!J26="","",IF(VLOOKUP('Cava Doors order'!J26,BDD!$Y:$AT,22,0)="","",VLOOKUP('Cava Doors order'!J26,BDD!$Y:$AT,22,0)))</f>
        <v/>
      </c>
      <c r="Q48" t="str">
        <f>IF('Cava Doors order'!G26="","",IF(VLOOKUP('Cava Doors order'!G26,BDD!$Y:$AE,7,0)=1,"TRUE","FALSE"))</f>
        <v/>
      </c>
      <c r="R48" t="str">
        <f>IF('Cava Doors order'!H26="","",IF(VLOOKUP('Cava Doors order'!H26,BDD!$Y:$AE,7,0)=1,"TRUE","FALSE"))</f>
        <v/>
      </c>
      <c r="S48" t="str">
        <f>IF('Cava Doors order'!I26="","",IF(VLOOKUP('Cava Doors order'!I26,BDD!$Y:$AE,7,0)=1,"TRUE","FALSE"))</f>
        <v/>
      </c>
      <c r="T48" s="418" t="str">
        <f>IF('Cava Doors order'!J26="","",IF(VLOOKUP('Cava Doors order'!J26,BDD!$Y:$AE,7,0)=1,"TRUE","FALSE"))</f>
        <v/>
      </c>
    </row>
    <row r="49" spans="1:20" x14ac:dyDescent="0.25">
      <c r="A49" s="422" t="str">
        <f>IF(B49="","",IF(C49="","",IF('Cava Doors order'!$G$7="","",RIGHT(CONCATENATE("000000",'Cava Doors order'!$G$7), 6))))</f>
        <v/>
      </c>
      <c r="B49" t="str">
        <f>IF(C49="","",IF('Cava Doors order'!$A$7="","",'Cava Doors order'!$A$7))</f>
        <v/>
      </c>
      <c r="C49" s="64" t="str">
        <f>IF(D49="","",IF('Cava Doors order'!$K$7="","",'Cava Doors order'!$K$7))</f>
        <v/>
      </c>
      <c r="D49" s="431" t="str">
        <f>IF(E49="","",IF(VLOOKUP(F49,BDD!$AG$138:$AJ$161,3,0)=1,BDD!$AK$124,BDD!$AK$125))</f>
        <v/>
      </c>
      <c r="E49" s="431" t="str">
        <f>IF('Cava Doors order'!E27="","",'Cava Doors order'!F27)</f>
        <v/>
      </c>
      <c r="F49" t="str">
        <f>IF('Cava Doors order'!E27="","",IF(VLOOKUP('Cava Doors order'!E27,BDD!B:AQ,42,0)="","",VLOOKUP('Cava Doors order'!E27,BDD!B:AQ,42,0)))</f>
        <v/>
      </c>
      <c r="G49" t="str">
        <f>IF('Cava Doors order'!B27="","",'Cava Doors order'!B27)</f>
        <v/>
      </c>
      <c r="H49" t="str">
        <f>IF('Cava Doors order'!C27="","",IF('Cava Doors order'!$N$7="mm",'Cava Doors order'!C27/25.4,'Cava Doors order'!C27))</f>
        <v/>
      </c>
      <c r="I49" t="str">
        <f>IF('Cava Doors order'!D27="","",IF('Cava Doors order'!$N$7="mm",'Cava Doors order'!D27/25.4,'Cava Doors order'!D27))</f>
        <v/>
      </c>
      <c r="J49" t="str">
        <f>IF('Cava Doors order'!E27="","",18)</f>
        <v/>
      </c>
      <c r="K49" t="str">
        <f>IF('Cava Doors order'!F27="","",IF('Cava Doors order'!F27="no grain",0,0))</f>
        <v/>
      </c>
      <c r="L49" t="str">
        <f>IF('Cava Doors order'!F27="","",IF('Doors order'!F27="no grain",0,0))</f>
        <v/>
      </c>
      <c r="M49" t="str">
        <f>IF('Cava Doors order'!G27="","",IF(VLOOKUP('Cava Doors order'!G27,BDD!$Y:$AT,22,0)="","",VLOOKUP('Cava Doors order'!G27,BDD!$Y:$AT,22,0)))</f>
        <v/>
      </c>
      <c r="N49" t="str">
        <f>IF('Cava Doors order'!H27="","",IF(VLOOKUP('Cava Doors order'!H27,BDD!$Y:$AT,22,0)="","",VLOOKUP('Cava Doors order'!H27,BDD!$Y:$AT,22,0)))</f>
        <v/>
      </c>
      <c r="O49" t="str">
        <f>IF('Cava Doors order'!I27="","",IF(VLOOKUP('Cava Doors order'!I27,BDD!$Y:$AT,22,0)="","",VLOOKUP('Cava Doors order'!I27,BDD!$Y:$AT,22,0)))</f>
        <v/>
      </c>
      <c r="P49" t="str">
        <f>IF('Cava Doors order'!J27="","",IF(VLOOKUP('Cava Doors order'!J27,BDD!$Y:$AT,22,0)="","",VLOOKUP('Cava Doors order'!J27,BDD!$Y:$AT,22,0)))</f>
        <v/>
      </c>
      <c r="Q49" t="str">
        <f>IF('Cava Doors order'!G27="","",IF(VLOOKUP('Cava Doors order'!G27,BDD!$Y:$AE,7,0)=1,"TRUE","FALSE"))</f>
        <v/>
      </c>
      <c r="R49" t="str">
        <f>IF('Cava Doors order'!H27="","",IF(VLOOKUP('Cava Doors order'!H27,BDD!$Y:$AE,7,0)=1,"TRUE","FALSE"))</f>
        <v/>
      </c>
      <c r="S49" t="str">
        <f>IF('Cava Doors order'!I27="","",IF(VLOOKUP('Cava Doors order'!I27,BDD!$Y:$AE,7,0)=1,"TRUE","FALSE"))</f>
        <v/>
      </c>
      <c r="T49" s="418" t="str">
        <f>IF('Cava Doors order'!J27="","",IF(VLOOKUP('Cava Doors order'!J27,BDD!$Y:$AE,7,0)=1,"TRUE","FALSE"))</f>
        <v/>
      </c>
    </row>
    <row r="50" spans="1:20" x14ac:dyDescent="0.25">
      <c r="A50" s="422" t="str">
        <f>IF(B50="","",IF(C50="","",IF('Cava Doors order'!$G$7="","",RIGHT(CONCATENATE("000000",'Cava Doors order'!$G$7), 6))))</f>
        <v/>
      </c>
      <c r="B50" t="str">
        <f>IF(C50="","",IF('Cava Doors order'!$A$7="","",'Cava Doors order'!$A$7))</f>
        <v/>
      </c>
      <c r="C50" s="64" t="str">
        <f>IF(D50="","",IF('Cava Doors order'!$K$7="","",'Cava Doors order'!$K$7))</f>
        <v/>
      </c>
      <c r="D50" s="431" t="str">
        <f>IF(E50="","",IF(VLOOKUP(F50,BDD!$AG$138:$AJ$161,3,0)=1,BDD!$AK$124,BDD!$AK$125))</f>
        <v/>
      </c>
      <c r="E50" s="431" t="str">
        <f>IF('Cava Doors order'!E28="","",'Cava Doors order'!F28)</f>
        <v/>
      </c>
      <c r="F50" t="str">
        <f>IF('Cava Doors order'!E28="","",IF(VLOOKUP('Cava Doors order'!E28,BDD!B:AQ,42,0)="","",VLOOKUP('Cava Doors order'!E28,BDD!B:AQ,42,0)))</f>
        <v/>
      </c>
      <c r="G50" t="str">
        <f>IF('Cava Doors order'!B28="","",'Cava Doors order'!B28)</f>
        <v/>
      </c>
      <c r="H50" t="str">
        <f>IF('Cava Doors order'!C28="","",IF('Cava Doors order'!$N$7="mm",'Cava Doors order'!C28/25.4,'Cava Doors order'!C28))</f>
        <v/>
      </c>
      <c r="I50" t="str">
        <f>IF('Cava Doors order'!D28="","",IF('Cava Doors order'!$N$7="mm",'Cava Doors order'!D28/25.4,'Cava Doors order'!D28))</f>
        <v/>
      </c>
      <c r="J50" t="str">
        <f>IF('Cava Doors order'!E28="","",18)</f>
        <v/>
      </c>
      <c r="K50" t="str">
        <f>IF('Cava Doors order'!F28="","",IF('Cava Doors order'!F28="no grain",0,0))</f>
        <v/>
      </c>
      <c r="L50" t="str">
        <f>IF('Cava Doors order'!F28="","",IF('Doors order'!F28="no grain",0,0))</f>
        <v/>
      </c>
      <c r="M50" t="str">
        <f>IF('Cava Doors order'!G28="","",IF(VLOOKUP('Cava Doors order'!G28,BDD!$Y:$AT,22,0)="","",VLOOKUP('Cava Doors order'!G28,BDD!$Y:$AT,22,0)))</f>
        <v/>
      </c>
      <c r="N50" t="str">
        <f>IF('Cava Doors order'!H28="","",IF(VLOOKUP('Cava Doors order'!H28,BDD!$Y:$AT,22,0)="","",VLOOKUP('Cava Doors order'!H28,BDD!$Y:$AT,22,0)))</f>
        <v/>
      </c>
      <c r="O50" t="str">
        <f>IF('Cava Doors order'!I28="","",IF(VLOOKUP('Cava Doors order'!I28,BDD!$Y:$AT,22,0)="","",VLOOKUP('Cava Doors order'!I28,BDD!$Y:$AT,22,0)))</f>
        <v/>
      </c>
      <c r="P50" t="str">
        <f>IF('Cava Doors order'!J28="","",IF(VLOOKUP('Cava Doors order'!J28,BDD!$Y:$AT,22,0)="","",VLOOKUP('Cava Doors order'!J28,BDD!$Y:$AT,22,0)))</f>
        <v/>
      </c>
      <c r="Q50" t="str">
        <f>IF('Cava Doors order'!G28="","",IF(VLOOKUP('Cava Doors order'!G28,BDD!$Y:$AE,7,0)=1,"TRUE","FALSE"))</f>
        <v/>
      </c>
      <c r="R50" t="str">
        <f>IF('Cava Doors order'!H28="","",IF(VLOOKUP('Cava Doors order'!H28,BDD!$Y:$AE,7,0)=1,"TRUE","FALSE"))</f>
        <v/>
      </c>
      <c r="S50" t="str">
        <f>IF('Cava Doors order'!I28="","",IF(VLOOKUP('Cava Doors order'!I28,BDD!$Y:$AE,7,0)=1,"TRUE","FALSE"))</f>
        <v/>
      </c>
      <c r="T50" s="418" t="str">
        <f>IF('Cava Doors order'!J28="","",IF(VLOOKUP('Cava Doors order'!J28,BDD!$Y:$AE,7,0)=1,"TRUE","FALSE"))</f>
        <v/>
      </c>
    </row>
    <row r="51" spans="1:20" x14ac:dyDescent="0.25">
      <c r="A51" s="422" t="str">
        <f>IF(B51="","",IF(C51="","",IF('Cava Doors order'!$G$7="","",RIGHT(CONCATENATE("000000",'Cava Doors order'!$G$7), 6))))</f>
        <v/>
      </c>
      <c r="B51" t="str">
        <f>IF(C51="","",IF('Cava Doors order'!$A$7="","",'Cava Doors order'!$A$7))</f>
        <v/>
      </c>
      <c r="C51" s="64" t="str">
        <f>IF(D51="","",IF('Cava Doors order'!$K$7="","",'Cava Doors order'!$K$7))</f>
        <v/>
      </c>
      <c r="D51" s="431" t="str">
        <f>IF(E51="","",IF(VLOOKUP(F51,BDD!$AG$138:$AJ$161,3,0)=1,BDD!$AK$124,BDD!$AK$125))</f>
        <v/>
      </c>
      <c r="E51" s="431" t="str">
        <f>IF('Cava Doors order'!E29="","",'Cava Doors order'!F29)</f>
        <v/>
      </c>
      <c r="F51" t="str">
        <f>IF('Cava Doors order'!E29="","",IF(VLOOKUP('Cava Doors order'!E29,BDD!B:AQ,42,0)="","",VLOOKUP('Cava Doors order'!E29,BDD!B:AQ,42,0)))</f>
        <v/>
      </c>
      <c r="G51" t="str">
        <f>IF('Cava Doors order'!B29="","",'Cava Doors order'!B29)</f>
        <v/>
      </c>
      <c r="H51" t="str">
        <f>IF('Cava Doors order'!C29="","",IF('Cava Doors order'!$N$7="mm",'Cava Doors order'!C29/25.4,'Cava Doors order'!C29))</f>
        <v/>
      </c>
      <c r="I51" t="str">
        <f>IF('Cava Doors order'!D29="","",IF('Cava Doors order'!$N$7="mm",'Cava Doors order'!D29/25.4,'Cava Doors order'!D29))</f>
        <v/>
      </c>
      <c r="J51" t="str">
        <f>IF('Cava Doors order'!E29="","",18)</f>
        <v/>
      </c>
      <c r="K51" t="str">
        <f>IF('Cava Doors order'!F29="","",IF('Cava Doors order'!F29="no grain",0,0))</f>
        <v/>
      </c>
      <c r="L51" t="str">
        <f>IF('Cava Doors order'!F29="","",IF('Doors order'!F29="no grain",0,0))</f>
        <v/>
      </c>
      <c r="M51" t="str">
        <f>IF('Cava Doors order'!G29="","",IF(VLOOKUP('Cava Doors order'!G29,BDD!$Y:$AT,22,0)="","",VLOOKUP('Cava Doors order'!G29,BDD!$Y:$AT,22,0)))</f>
        <v/>
      </c>
      <c r="N51" t="str">
        <f>IF('Cava Doors order'!H29="","",IF(VLOOKUP('Cava Doors order'!H29,BDD!$Y:$AT,22,0)="","",VLOOKUP('Cava Doors order'!H29,BDD!$Y:$AT,22,0)))</f>
        <v/>
      </c>
      <c r="O51" t="str">
        <f>IF('Cava Doors order'!I29="","",IF(VLOOKUP('Cava Doors order'!I29,BDD!$Y:$AT,22,0)="","",VLOOKUP('Cava Doors order'!I29,BDD!$Y:$AT,22,0)))</f>
        <v/>
      </c>
      <c r="P51" t="str">
        <f>IF('Cava Doors order'!J29="","",IF(VLOOKUP('Cava Doors order'!J29,BDD!$Y:$AT,22,0)="","",VLOOKUP('Cava Doors order'!J29,BDD!$Y:$AT,22,0)))</f>
        <v/>
      </c>
      <c r="Q51" t="str">
        <f>IF('Cava Doors order'!G29="","",IF(VLOOKUP('Cava Doors order'!G29,BDD!$Y:$AE,7,0)=1,"TRUE","FALSE"))</f>
        <v/>
      </c>
      <c r="R51" t="str">
        <f>IF('Cava Doors order'!H29="","",IF(VLOOKUP('Cava Doors order'!H29,BDD!$Y:$AE,7,0)=1,"TRUE","FALSE"))</f>
        <v/>
      </c>
      <c r="S51" t="str">
        <f>IF('Cava Doors order'!I29="","",IF(VLOOKUP('Cava Doors order'!I29,BDD!$Y:$AE,7,0)=1,"TRUE","FALSE"))</f>
        <v/>
      </c>
      <c r="T51" s="418" t="str">
        <f>IF('Cava Doors order'!J29="","",IF(VLOOKUP('Cava Doors order'!J29,BDD!$Y:$AE,7,0)=1,"TRUE","FALSE"))</f>
        <v/>
      </c>
    </row>
    <row r="52" spans="1:20" x14ac:dyDescent="0.25">
      <c r="A52" s="422" t="str">
        <f>IF(B52="","",IF(C52="","",IF('Cava Doors order'!$G$7="","",RIGHT(CONCATENATE("000000",'Cava Doors order'!$G$7), 6))))</f>
        <v/>
      </c>
      <c r="B52" t="str">
        <f>IF(C52="","",IF('Cava Doors order'!$A$7="","",'Cava Doors order'!$A$7))</f>
        <v/>
      </c>
      <c r="C52" s="64" t="str">
        <f>IF(D52="","",IF('Cava Doors order'!$K$7="","",'Cava Doors order'!$K$7))</f>
        <v/>
      </c>
      <c r="D52" s="431" t="str">
        <f>IF(E52="","",IF(VLOOKUP(F52,BDD!$AG$138:$AJ$161,3,0)=1,BDD!$AK$124,BDD!$AK$125))</f>
        <v/>
      </c>
      <c r="E52" s="431" t="str">
        <f>IF('Cava Doors order'!E30="","",'Cava Doors order'!F30)</f>
        <v/>
      </c>
      <c r="F52" t="str">
        <f>IF('Cava Doors order'!E30="","",IF(VLOOKUP('Cava Doors order'!E30,BDD!B:AQ,42,0)="","",VLOOKUP('Cava Doors order'!E30,BDD!B:AQ,42,0)))</f>
        <v/>
      </c>
      <c r="G52" t="str">
        <f>IF('Cava Doors order'!B30="","",'Cava Doors order'!B30)</f>
        <v/>
      </c>
      <c r="H52" t="str">
        <f>IF('Cava Doors order'!C30="","",IF('Cava Doors order'!$N$7="mm",'Cava Doors order'!C30/25.4,'Cava Doors order'!C30))</f>
        <v/>
      </c>
      <c r="I52" t="str">
        <f>IF('Cava Doors order'!D30="","",IF('Cava Doors order'!$N$7="mm",'Cava Doors order'!D30/25.4,'Cava Doors order'!D30))</f>
        <v/>
      </c>
      <c r="J52" t="str">
        <f>IF('Cava Doors order'!E30="","",18)</f>
        <v/>
      </c>
      <c r="K52" t="str">
        <f>IF('Cava Doors order'!F30="","",IF('Cava Doors order'!F30="no grain",0,0))</f>
        <v/>
      </c>
      <c r="L52" t="str">
        <f>IF('Cava Doors order'!F30="","",IF('Doors order'!F30="no grain",0,0))</f>
        <v/>
      </c>
      <c r="M52" t="str">
        <f>IF('Cava Doors order'!G30="","",IF(VLOOKUP('Cava Doors order'!G30,BDD!$Y:$AT,22,0)="","",VLOOKUP('Cava Doors order'!G30,BDD!$Y:$AT,22,0)))</f>
        <v/>
      </c>
      <c r="N52" t="str">
        <f>IF('Cava Doors order'!H30="","",IF(VLOOKUP('Cava Doors order'!H30,BDD!$Y:$AT,22,0)="","",VLOOKUP('Cava Doors order'!H30,BDD!$Y:$AT,22,0)))</f>
        <v/>
      </c>
      <c r="O52" t="str">
        <f>IF('Cava Doors order'!I30="","",IF(VLOOKUP('Cava Doors order'!I30,BDD!$Y:$AT,22,0)="","",VLOOKUP('Cava Doors order'!I30,BDD!$Y:$AT,22,0)))</f>
        <v/>
      </c>
      <c r="P52" t="str">
        <f>IF('Cava Doors order'!J30="","",IF(VLOOKUP('Cava Doors order'!J30,BDD!$Y:$AT,22,0)="","",VLOOKUP('Cava Doors order'!J30,BDD!$Y:$AT,22,0)))</f>
        <v/>
      </c>
      <c r="Q52" t="str">
        <f>IF('Cava Doors order'!G30="","",IF(VLOOKUP('Cava Doors order'!G30,BDD!$Y:$AE,7,0)=1,"TRUE","FALSE"))</f>
        <v/>
      </c>
      <c r="R52" t="str">
        <f>IF('Cava Doors order'!H30="","",IF(VLOOKUP('Cava Doors order'!H30,BDD!$Y:$AE,7,0)=1,"TRUE","FALSE"))</f>
        <v/>
      </c>
      <c r="S52" t="str">
        <f>IF('Cava Doors order'!I30="","",IF(VLOOKUP('Cava Doors order'!I30,BDD!$Y:$AE,7,0)=1,"TRUE","FALSE"))</f>
        <v/>
      </c>
      <c r="T52" s="418" t="str">
        <f>IF('Cava Doors order'!J30="","",IF(VLOOKUP('Cava Doors order'!J30,BDD!$Y:$AE,7,0)=1,"TRUE","FALSE"))</f>
        <v/>
      </c>
    </row>
    <row r="53" spans="1:20" x14ac:dyDescent="0.25">
      <c r="A53" s="422" t="str">
        <f>IF(B53="","",IF(C53="","",IF('Cava Doors order'!$G$7="","",RIGHT(CONCATENATE("000000",'Cava Doors order'!$G$7), 6))))</f>
        <v/>
      </c>
      <c r="B53" t="str">
        <f>IF(C53="","",IF('Cava Doors order'!$A$7="","",'Cava Doors order'!$A$7))</f>
        <v/>
      </c>
      <c r="C53" s="64" t="str">
        <f>IF(D53="","",IF('Cava Doors order'!$K$7="","",'Cava Doors order'!$K$7))</f>
        <v/>
      </c>
      <c r="D53" s="431" t="str">
        <f>IF(E53="","",IF(VLOOKUP(F53,BDD!$AG$138:$AJ$161,3,0)=1,BDD!$AK$124,BDD!$AK$125))</f>
        <v/>
      </c>
      <c r="E53" s="431" t="str">
        <f>IF('Cava Doors order'!E31="","",'Cava Doors order'!F31)</f>
        <v/>
      </c>
      <c r="F53" t="str">
        <f>IF('Cava Doors order'!E31="","",IF(VLOOKUP('Cava Doors order'!E31,BDD!B:AQ,42,0)="","",VLOOKUP('Cava Doors order'!E31,BDD!B:AQ,42,0)))</f>
        <v/>
      </c>
      <c r="G53" t="str">
        <f>IF('Cava Doors order'!B31="","",'Cava Doors order'!B31)</f>
        <v/>
      </c>
      <c r="H53" t="str">
        <f>IF('Cava Doors order'!C31="","",IF('Cava Doors order'!$N$7="mm",'Cava Doors order'!C31/25.4,'Cava Doors order'!C31))</f>
        <v/>
      </c>
      <c r="I53" t="str">
        <f>IF('Cava Doors order'!D31="","",IF('Cava Doors order'!$N$7="mm",'Cava Doors order'!D31/25.4,'Cava Doors order'!D31))</f>
        <v/>
      </c>
      <c r="J53" t="str">
        <f>IF('Cava Doors order'!E31="","",18)</f>
        <v/>
      </c>
      <c r="K53" t="str">
        <f>IF('Cava Doors order'!F31="","",IF('Cava Doors order'!F31="no grain",0,0))</f>
        <v/>
      </c>
      <c r="L53" t="str">
        <f>IF('Cava Doors order'!F31="","",IF('Doors order'!F31="no grain",0,0))</f>
        <v/>
      </c>
      <c r="M53" t="str">
        <f>IF('Cava Doors order'!G31="","",IF(VLOOKUP('Cava Doors order'!G31,BDD!$Y:$AT,22,0)="","",VLOOKUP('Cava Doors order'!G31,BDD!$Y:$AT,22,0)))</f>
        <v/>
      </c>
      <c r="N53" t="str">
        <f>IF('Cava Doors order'!H31="","",IF(VLOOKUP('Cava Doors order'!H31,BDD!$Y:$AT,22,0)="","",VLOOKUP('Cava Doors order'!H31,BDD!$Y:$AT,22,0)))</f>
        <v/>
      </c>
      <c r="O53" t="str">
        <f>IF('Cava Doors order'!I31="","",IF(VLOOKUP('Cava Doors order'!I31,BDD!$Y:$AT,22,0)="","",VLOOKUP('Cava Doors order'!I31,BDD!$Y:$AT,22,0)))</f>
        <v/>
      </c>
      <c r="P53" t="str">
        <f>IF('Cava Doors order'!J31="","",IF(VLOOKUP('Cava Doors order'!J31,BDD!$Y:$AT,22,0)="","",VLOOKUP('Cava Doors order'!J31,BDD!$Y:$AT,22,0)))</f>
        <v/>
      </c>
      <c r="Q53" t="str">
        <f>IF('Cava Doors order'!G31="","",IF(VLOOKUP('Cava Doors order'!G31,BDD!$Y:$AE,7,0)=1,"TRUE","FALSE"))</f>
        <v/>
      </c>
      <c r="R53" t="str">
        <f>IF('Cava Doors order'!H31="","",IF(VLOOKUP('Cava Doors order'!H31,BDD!$Y:$AE,7,0)=1,"TRUE","FALSE"))</f>
        <v/>
      </c>
      <c r="S53" t="str">
        <f>IF('Cava Doors order'!I31="","",IF(VLOOKUP('Cava Doors order'!I31,BDD!$Y:$AE,7,0)=1,"TRUE","FALSE"))</f>
        <v/>
      </c>
      <c r="T53" s="418" t="str">
        <f>IF('Cava Doors order'!J31="","",IF(VLOOKUP('Cava Doors order'!J31,BDD!$Y:$AE,7,0)=1,"TRUE","FALSE"))</f>
        <v/>
      </c>
    </row>
    <row r="54" spans="1:20" x14ac:dyDescent="0.25">
      <c r="A54" s="422" t="str">
        <f>IF(B54="","",IF(C54="","",IF('Cava Doors order'!$G$7="","",RIGHT(CONCATENATE("000000",'Cava Doors order'!$G$7), 6))))</f>
        <v/>
      </c>
      <c r="B54" t="str">
        <f>IF(C54="","",IF('Cava Doors order'!$A$7="","",'Cava Doors order'!$A$7))</f>
        <v/>
      </c>
      <c r="C54" s="64" t="str">
        <f>IF(D54="","",IF('Cava Doors order'!$K$7="","",'Cava Doors order'!$K$7))</f>
        <v/>
      </c>
      <c r="D54" s="431" t="str">
        <f>IF(E54="","",IF(VLOOKUP(F54,BDD!$AG$138:$AJ$161,3,0)=1,BDD!$AK$124,BDD!$AK$125))</f>
        <v/>
      </c>
      <c r="E54" s="431" t="str">
        <f>IF('Cava Doors order'!E32="","",'Cava Doors order'!F32)</f>
        <v/>
      </c>
      <c r="F54" t="str">
        <f>IF('Cava Doors order'!E32="","",IF(VLOOKUP('Cava Doors order'!E32,BDD!B:AQ,42,0)="","",VLOOKUP('Cava Doors order'!E32,BDD!B:AQ,42,0)))</f>
        <v/>
      </c>
      <c r="G54" t="str">
        <f>IF('Cava Doors order'!B32="","",'Cava Doors order'!B32)</f>
        <v/>
      </c>
      <c r="H54" t="str">
        <f>IF('Cava Doors order'!C32="","",IF('Cava Doors order'!$N$7="mm",'Cava Doors order'!C32/25.4,'Cava Doors order'!C32))</f>
        <v/>
      </c>
      <c r="I54" t="str">
        <f>IF('Cava Doors order'!D32="","",IF('Cava Doors order'!$N$7="mm",'Cava Doors order'!D32/25.4,'Cava Doors order'!D32))</f>
        <v/>
      </c>
      <c r="J54" t="str">
        <f>IF('Cava Doors order'!E32="","",18)</f>
        <v/>
      </c>
      <c r="K54" t="str">
        <f>IF('Cava Doors order'!F32="","",IF('Cava Doors order'!F32="no grain",0,0))</f>
        <v/>
      </c>
      <c r="L54" t="str">
        <f>IF('Cava Doors order'!F32="","",IF('Doors order'!F32="no grain",0,0))</f>
        <v/>
      </c>
      <c r="M54" t="str">
        <f>IF('Cava Doors order'!G32="","",IF(VLOOKUP('Cava Doors order'!G32,BDD!$Y:$AT,22,0)="","",VLOOKUP('Cava Doors order'!G32,BDD!$Y:$AT,22,0)))</f>
        <v/>
      </c>
      <c r="N54" t="str">
        <f>IF('Cava Doors order'!H32="","",IF(VLOOKUP('Cava Doors order'!H32,BDD!$Y:$AT,22,0)="","",VLOOKUP('Cava Doors order'!H32,BDD!$Y:$AT,22,0)))</f>
        <v/>
      </c>
      <c r="O54" t="str">
        <f>IF('Cava Doors order'!I32="","",IF(VLOOKUP('Cava Doors order'!I32,BDD!$Y:$AT,22,0)="","",VLOOKUP('Cava Doors order'!I32,BDD!$Y:$AT,22,0)))</f>
        <v/>
      </c>
      <c r="P54" t="str">
        <f>IF('Cava Doors order'!J32="","",IF(VLOOKUP('Cava Doors order'!J32,BDD!$Y:$AT,22,0)="","",VLOOKUP('Cava Doors order'!J32,BDD!$Y:$AT,22,0)))</f>
        <v/>
      </c>
      <c r="Q54" t="str">
        <f>IF('Cava Doors order'!G32="","",IF(VLOOKUP('Cava Doors order'!G32,BDD!$Y:$AE,7,0)=1,"TRUE","FALSE"))</f>
        <v/>
      </c>
      <c r="R54" t="str">
        <f>IF('Cava Doors order'!H32="","",IF(VLOOKUP('Cava Doors order'!H32,BDD!$Y:$AE,7,0)=1,"TRUE","FALSE"))</f>
        <v/>
      </c>
      <c r="S54" t="str">
        <f>IF('Cava Doors order'!I32="","",IF(VLOOKUP('Cava Doors order'!I32,BDD!$Y:$AE,7,0)=1,"TRUE","FALSE"))</f>
        <v/>
      </c>
      <c r="T54" s="418" t="str">
        <f>IF('Cava Doors order'!J32="","",IF(VLOOKUP('Cava Doors order'!J32,BDD!$Y:$AE,7,0)=1,"TRUE","FALSE"))</f>
        <v/>
      </c>
    </row>
    <row r="55" spans="1:20" x14ac:dyDescent="0.25">
      <c r="A55" s="422" t="str">
        <f>IF(B55="","",IF(C55="","",IF('Cava Doors order'!$G$7="","",RIGHT(CONCATENATE("000000",'Cava Doors order'!$G$7), 6))))</f>
        <v/>
      </c>
      <c r="B55" t="str">
        <f>IF(C55="","",IF('Cava Doors order'!$A$7="","",'Cava Doors order'!$A$7))</f>
        <v/>
      </c>
      <c r="C55" s="64" t="str">
        <f>IF(D55="","",IF('Cava Doors order'!$K$7="","",'Cava Doors order'!$K$7))</f>
        <v/>
      </c>
      <c r="D55" s="431" t="str">
        <f>IF(E55="","",IF(VLOOKUP(F55,BDD!$AG$138:$AJ$161,3,0)=1,BDD!$AK$124,BDD!$AK$125))</f>
        <v/>
      </c>
      <c r="E55" s="431" t="str">
        <f>IF('Cava Doors order'!E33="","",'Cava Doors order'!F33)</f>
        <v/>
      </c>
      <c r="F55" t="str">
        <f>IF('Cava Doors order'!E33="","",IF(VLOOKUP('Cava Doors order'!E33,BDD!B:AQ,42,0)="","",VLOOKUP('Cava Doors order'!E33,BDD!B:AQ,42,0)))</f>
        <v/>
      </c>
      <c r="G55" t="str">
        <f>IF('Cava Doors order'!B33="","",'Cava Doors order'!B33)</f>
        <v/>
      </c>
      <c r="H55" t="str">
        <f>IF('Cava Doors order'!C33="","",IF('Cava Doors order'!$N$7="mm",'Cava Doors order'!C33/25.4,'Cava Doors order'!C33))</f>
        <v/>
      </c>
      <c r="I55" t="str">
        <f>IF('Cava Doors order'!D33="","",IF('Cava Doors order'!$N$7="mm",'Cava Doors order'!D33/25.4,'Cava Doors order'!D33))</f>
        <v/>
      </c>
      <c r="J55" t="str">
        <f>IF('Cava Doors order'!E33="","",18)</f>
        <v/>
      </c>
      <c r="K55" t="str">
        <f>IF('Cava Doors order'!F33="","",IF('Cava Doors order'!F33="no grain",0,0))</f>
        <v/>
      </c>
      <c r="L55" t="str">
        <f>IF('Cava Doors order'!F33="","",IF('Doors order'!F33="no grain",0,0))</f>
        <v/>
      </c>
      <c r="M55" t="str">
        <f>IF('Cava Doors order'!G33="","",IF(VLOOKUP('Cava Doors order'!G33,BDD!$Y:$AT,22,0)="","",VLOOKUP('Cava Doors order'!G33,BDD!$Y:$AT,22,0)))</f>
        <v/>
      </c>
      <c r="N55" t="str">
        <f>IF('Cava Doors order'!H33="","",IF(VLOOKUP('Cava Doors order'!H33,BDD!$Y:$AT,22,0)="","",VLOOKUP('Cava Doors order'!H33,BDD!$Y:$AT,22,0)))</f>
        <v/>
      </c>
      <c r="O55" t="str">
        <f>IF('Cava Doors order'!I33="","",IF(VLOOKUP('Cava Doors order'!I33,BDD!$Y:$AT,22,0)="","",VLOOKUP('Cava Doors order'!I33,BDD!$Y:$AT,22,0)))</f>
        <v/>
      </c>
      <c r="P55" t="str">
        <f>IF('Cava Doors order'!J33="","",IF(VLOOKUP('Cava Doors order'!J33,BDD!$Y:$AT,22,0)="","",VLOOKUP('Cava Doors order'!J33,BDD!$Y:$AT,22,0)))</f>
        <v/>
      </c>
      <c r="Q55" t="str">
        <f>IF('Cava Doors order'!G33="","",IF(VLOOKUP('Cava Doors order'!G33,BDD!$Y:$AE,7,0)=1,"TRUE","FALSE"))</f>
        <v/>
      </c>
      <c r="R55" t="str">
        <f>IF('Cava Doors order'!H33="","",IF(VLOOKUP('Cava Doors order'!H33,BDD!$Y:$AE,7,0)=1,"TRUE","FALSE"))</f>
        <v/>
      </c>
      <c r="S55" t="str">
        <f>IF('Cava Doors order'!I33="","",IF(VLOOKUP('Cava Doors order'!I33,BDD!$Y:$AE,7,0)=1,"TRUE","FALSE"))</f>
        <v/>
      </c>
      <c r="T55" s="418" t="str">
        <f>IF('Cava Doors order'!J33="","",IF(VLOOKUP('Cava Doors order'!J33,BDD!$Y:$AE,7,0)=1,"TRUE","FALSE"))</f>
        <v/>
      </c>
    </row>
    <row r="56" spans="1:20" x14ac:dyDescent="0.25">
      <c r="A56" s="422" t="str">
        <f>IF(B56="","",IF(C56="","",IF('Cava Doors order'!$G$7="","",RIGHT(CONCATENATE("000000",'Cava Doors order'!$G$7), 6))))</f>
        <v/>
      </c>
      <c r="B56" t="str">
        <f>IF(C56="","",IF('Cava Doors order'!$A$7="","",'Cava Doors order'!$A$7))</f>
        <v/>
      </c>
      <c r="C56" s="64" t="str">
        <f>IF(D56="","",IF('Cava Doors order'!$K$7="","",'Cava Doors order'!$K$7))</f>
        <v/>
      </c>
      <c r="D56" s="431" t="str">
        <f>IF(E56="","",IF(VLOOKUP(F56,BDD!$AG$138:$AJ$161,3,0)=1,BDD!$AK$124,BDD!$AK$125))</f>
        <v/>
      </c>
      <c r="E56" s="431" t="str">
        <f>IF('Cava Doors order'!E34="","",'Cava Doors order'!F34)</f>
        <v/>
      </c>
      <c r="F56" t="str">
        <f>IF('Cava Doors order'!E34="","",IF(VLOOKUP('Cava Doors order'!E34,BDD!B:AQ,42,0)="","",VLOOKUP('Cava Doors order'!E34,BDD!B:AQ,42,0)))</f>
        <v/>
      </c>
      <c r="G56" t="str">
        <f>IF('Cava Doors order'!B34="","",'Cava Doors order'!B34)</f>
        <v/>
      </c>
      <c r="H56" t="str">
        <f>IF('Cava Doors order'!C34="","",IF('Cava Doors order'!$N$7="mm",'Cava Doors order'!C34/25.4,'Cava Doors order'!C34))</f>
        <v/>
      </c>
      <c r="I56" t="str">
        <f>IF('Cava Doors order'!D34="","",IF('Cava Doors order'!$N$7="mm",'Cava Doors order'!D34/25.4,'Cava Doors order'!D34))</f>
        <v/>
      </c>
      <c r="J56" t="str">
        <f>IF('Cava Doors order'!E34="","",18)</f>
        <v/>
      </c>
      <c r="K56" t="str">
        <f>IF('Cava Doors order'!F34="","",IF('Cava Doors order'!F34="no grain",0,0))</f>
        <v/>
      </c>
      <c r="L56" t="str">
        <f>IF('Cava Doors order'!F34="","",IF('Doors order'!F34="no grain",0,0))</f>
        <v/>
      </c>
      <c r="M56" t="str">
        <f>IF('Cava Doors order'!G34="","",IF(VLOOKUP('Cava Doors order'!G34,BDD!$Y:$AT,22,0)="","",VLOOKUP('Cava Doors order'!G34,BDD!$Y:$AT,22,0)))</f>
        <v/>
      </c>
      <c r="N56" t="str">
        <f>IF('Cava Doors order'!H34="","",IF(VLOOKUP('Cava Doors order'!H34,BDD!$Y:$AT,22,0)="","",VLOOKUP('Cava Doors order'!H34,BDD!$Y:$AT,22,0)))</f>
        <v/>
      </c>
      <c r="O56" t="str">
        <f>IF('Cava Doors order'!I34="","",IF(VLOOKUP('Cava Doors order'!I34,BDD!$Y:$AT,22,0)="","",VLOOKUP('Cava Doors order'!I34,BDD!$Y:$AT,22,0)))</f>
        <v/>
      </c>
      <c r="P56" t="str">
        <f>IF('Cava Doors order'!J34="","",IF(VLOOKUP('Cava Doors order'!J34,BDD!$Y:$AT,22,0)="","",VLOOKUP('Cava Doors order'!J34,BDD!$Y:$AT,22,0)))</f>
        <v/>
      </c>
      <c r="Q56" t="str">
        <f>IF('Cava Doors order'!G34="","",IF(VLOOKUP('Cava Doors order'!G34,BDD!$Y:$AE,7,0)=1,"TRUE","FALSE"))</f>
        <v/>
      </c>
      <c r="R56" t="str">
        <f>IF('Cava Doors order'!H34="","",IF(VLOOKUP('Cava Doors order'!H34,BDD!$Y:$AE,7,0)=1,"TRUE","FALSE"))</f>
        <v/>
      </c>
      <c r="S56" t="str">
        <f>IF('Cava Doors order'!I34="","",IF(VLOOKUP('Cava Doors order'!I34,BDD!$Y:$AE,7,0)=1,"TRUE","FALSE"))</f>
        <v/>
      </c>
      <c r="T56" s="418" t="str">
        <f>IF('Cava Doors order'!J34="","",IF(VLOOKUP('Cava Doors order'!J34,BDD!$Y:$AE,7,0)=1,"TRUE","FALSE"))</f>
        <v/>
      </c>
    </row>
    <row r="57" spans="1:20" x14ac:dyDescent="0.25">
      <c r="A57" s="422" t="str">
        <f>IF(B57="","",IF(C57="","",IF('Cava Doors order'!$G$7="","",RIGHT(CONCATENATE("000000",'Cava Doors order'!$G$7), 6))))</f>
        <v/>
      </c>
      <c r="B57" t="str">
        <f>IF(C57="","",IF('Cava Doors order'!$A$7="","",'Cava Doors order'!$A$7))</f>
        <v/>
      </c>
      <c r="C57" s="64" t="str">
        <f>IF(D57="","",IF('Cava Doors order'!$K$7="","",'Cava Doors order'!$K$7))</f>
        <v/>
      </c>
      <c r="D57" s="431" t="str">
        <f>IF(E57="","",IF(VLOOKUP(F57,BDD!$AG$138:$AJ$161,3,0)=1,BDD!$AK$124,BDD!$AK$125))</f>
        <v/>
      </c>
      <c r="E57" s="431" t="str">
        <f>IF('Cava Doors order'!E35="","",'Cava Doors order'!F35)</f>
        <v/>
      </c>
      <c r="F57" t="str">
        <f>IF('Cava Doors order'!E35="","",IF(VLOOKUP('Cava Doors order'!E35,BDD!B:AQ,42,0)="","",VLOOKUP('Cava Doors order'!E35,BDD!B:AQ,42,0)))</f>
        <v/>
      </c>
      <c r="G57" t="str">
        <f>IF('Cava Doors order'!B35="","",'Cava Doors order'!B35)</f>
        <v/>
      </c>
      <c r="H57" t="str">
        <f>IF('Cava Doors order'!C35="","",IF('Cava Doors order'!$N$7="mm",'Cava Doors order'!C35/25.4,'Cava Doors order'!C35))</f>
        <v/>
      </c>
      <c r="I57" t="str">
        <f>IF('Cava Doors order'!D35="","",IF('Cava Doors order'!$N$7="mm",'Cava Doors order'!D35/25.4,'Cava Doors order'!D35))</f>
        <v/>
      </c>
      <c r="J57" t="str">
        <f>IF('Cava Doors order'!E35="","",18)</f>
        <v/>
      </c>
      <c r="K57" t="str">
        <f>IF('Cava Doors order'!F35="","",IF('Cava Doors order'!F35="no grain",0,0))</f>
        <v/>
      </c>
      <c r="L57" t="str">
        <f>IF('Cava Doors order'!F35="","",IF('Doors order'!F35="no grain",0,0))</f>
        <v/>
      </c>
      <c r="M57" t="str">
        <f>IF('Cava Doors order'!G35="","",IF(VLOOKUP('Cava Doors order'!G35,BDD!$Y:$AT,22,0)="","",VLOOKUP('Cava Doors order'!G35,BDD!$Y:$AT,22,0)))</f>
        <v/>
      </c>
      <c r="N57" t="str">
        <f>IF('Cava Doors order'!H35="","",IF(VLOOKUP('Cava Doors order'!H35,BDD!$Y:$AT,22,0)="","",VLOOKUP('Cava Doors order'!H35,BDD!$Y:$AT,22,0)))</f>
        <v/>
      </c>
      <c r="O57" t="str">
        <f>IF('Cava Doors order'!I35="","",IF(VLOOKUP('Cava Doors order'!I35,BDD!$Y:$AT,22,0)="","",VLOOKUP('Cava Doors order'!I35,BDD!$Y:$AT,22,0)))</f>
        <v/>
      </c>
      <c r="P57" t="str">
        <f>IF('Cava Doors order'!J35="","",IF(VLOOKUP('Cava Doors order'!J35,BDD!$Y:$AT,22,0)="","",VLOOKUP('Cava Doors order'!J35,BDD!$Y:$AT,22,0)))</f>
        <v/>
      </c>
      <c r="Q57" t="str">
        <f>IF('Cava Doors order'!G35="","",IF(VLOOKUP('Cava Doors order'!G35,BDD!$Y:$AE,7,0)=1,"TRUE","FALSE"))</f>
        <v/>
      </c>
      <c r="R57" t="str">
        <f>IF('Cava Doors order'!H35="","",IF(VLOOKUP('Cava Doors order'!H35,BDD!$Y:$AE,7,0)=1,"TRUE","FALSE"))</f>
        <v/>
      </c>
      <c r="S57" t="str">
        <f>IF('Cava Doors order'!I35="","",IF(VLOOKUP('Cava Doors order'!I35,BDD!$Y:$AE,7,0)=1,"TRUE","FALSE"))</f>
        <v/>
      </c>
      <c r="T57" s="418" t="str">
        <f>IF('Cava Doors order'!J35="","",IF(VLOOKUP('Cava Doors order'!J35,BDD!$Y:$AE,7,0)=1,"TRUE","FALSE"))</f>
        <v/>
      </c>
    </row>
    <row r="58" spans="1:20" x14ac:dyDescent="0.25">
      <c r="A58" s="422" t="str">
        <f>IF(B58="","",IF(C58="","",IF('Cava Doors order'!$G$7="","",RIGHT(CONCATENATE("000000",'Cava Doors order'!$G$7), 6))))</f>
        <v/>
      </c>
      <c r="B58" t="str">
        <f>IF(C58="","",IF('Cava Doors order'!$A$7="","",'Cava Doors order'!$A$7))</f>
        <v/>
      </c>
      <c r="C58" s="64" t="str">
        <f>IF(D58="","",IF('Cava Doors order'!$K$7="","",'Cava Doors order'!$K$7))</f>
        <v/>
      </c>
      <c r="D58" s="431" t="str">
        <f>IF(E58="","",IF(VLOOKUP(F58,BDD!$AG$138:$AJ$161,3,0)=1,BDD!$AK$124,BDD!$AK$125))</f>
        <v/>
      </c>
      <c r="E58" s="431" t="str">
        <f>IF('Cava Doors order'!E36="","",'Cava Doors order'!F36)</f>
        <v/>
      </c>
      <c r="F58" t="str">
        <f>IF('Cava Doors order'!E36="","",IF(VLOOKUP('Cava Doors order'!E36,BDD!B:AQ,42,0)="","",VLOOKUP('Cava Doors order'!E36,BDD!B:AQ,42,0)))</f>
        <v/>
      </c>
      <c r="G58" t="str">
        <f>IF('Cava Doors order'!B36="","",'Cava Doors order'!B36)</f>
        <v/>
      </c>
      <c r="H58" t="str">
        <f>IF('Cava Doors order'!C36="","",IF('Cava Doors order'!$N$7="mm",'Cava Doors order'!C36/25.4,'Cava Doors order'!C36))</f>
        <v/>
      </c>
      <c r="I58" t="str">
        <f>IF('Cava Doors order'!D36="","",IF('Cava Doors order'!$N$7="mm",'Cava Doors order'!D36/25.4,'Cava Doors order'!D36))</f>
        <v/>
      </c>
      <c r="J58" t="str">
        <f>IF('Cava Doors order'!E36="","",18)</f>
        <v/>
      </c>
      <c r="K58" t="str">
        <f>IF('Cava Doors order'!F36="","",IF('Cava Doors order'!F36="no grain",0,0))</f>
        <v/>
      </c>
      <c r="L58" t="str">
        <f>IF('Cava Doors order'!F36="","",IF('Doors order'!F36="no grain",0,0))</f>
        <v/>
      </c>
      <c r="M58" t="str">
        <f>IF('Cava Doors order'!G36="","",IF(VLOOKUP('Cava Doors order'!G36,BDD!$Y:$AT,22,0)="","",VLOOKUP('Cava Doors order'!G36,BDD!$Y:$AT,22,0)))</f>
        <v/>
      </c>
      <c r="N58" t="str">
        <f>IF('Cava Doors order'!H36="","",IF(VLOOKUP('Cava Doors order'!H36,BDD!$Y:$AT,22,0)="","",VLOOKUP('Cava Doors order'!H36,BDD!$Y:$AT,22,0)))</f>
        <v/>
      </c>
      <c r="O58" t="str">
        <f>IF('Cava Doors order'!I36="","",IF(VLOOKUP('Cava Doors order'!I36,BDD!$Y:$AT,22,0)="","",VLOOKUP('Cava Doors order'!I36,BDD!$Y:$AT,22,0)))</f>
        <v/>
      </c>
      <c r="P58" t="str">
        <f>IF('Cava Doors order'!J36="","",IF(VLOOKUP('Cava Doors order'!J36,BDD!$Y:$AT,22,0)="","",VLOOKUP('Cava Doors order'!J36,BDD!$Y:$AT,22,0)))</f>
        <v/>
      </c>
      <c r="Q58" t="str">
        <f>IF('Cava Doors order'!G36="","",IF(VLOOKUP('Cava Doors order'!G36,BDD!$Y:$AE,7,0)=1,"TRUE","FALSE"))</f>
        <v/>
      </c>
      <c r="R58" t="str">
        <f>IF('Cava Doors order'!H36="","",IF(VLOOKUP('Cava Doors order'!H36,BDD!$Y:$AE,7,0)=1,"TRUE","FALSE"))</f>
        <v/>
      </c>
      <c r="S58" t="str">
        <f>IF('Cava Doors order'!I36="","",IF(VLOOKUP('Cava Doors order'!I36,BDD!$Y:$AE,7,0)=1,"TRUE","FALSE"))</f>
        <v/>
      </c>
      <c r="T58" s="418" t="str">
        <f>IF('Cava Doors order'!J36="","",IF(VLOOKUP('Cava Doors order'!J36,BDD!$Y:$AE,7,0)=1,"TRUE","FALSE"))</f>
        <v/>
      </c>
    </row>
    <row r="59" spans="1:20" x14ac:dyDescent="0.25">
      <c r="A59" s="422" t="str">
        <f>IF(B59="","",IF(C59="","",IF('Cava Doors order'!$G$7="","",RIGHT(CONCATENATE("000000",'Cava Doors order'!$G$7), 6))))</f>
        <v/>
      </c>
      <c r="B59" t="str">
        <f>IF(C59="","",IF('Cava Doors order'!$A$7="","",'Cava Doors order'!$A$7))</f>
        <v/>
      </c>
      <c r="C59" s="64" t="str">
        <f>IF(D59="","",IF('Cava Doors order'!$K$7="","",'Cava Doors order'!$K$7))</f>
        <v/>
      </c>
      <c r="D59" s="431" t="str">
        <f>IF(E59="","",IF(VLOOKUP(F59,BDD!$AG$138:$AJ$161,3,0)=1,BDD!$AK$124,BDD!$AK$125))</f>
        <v/>
      </c>
      <c r="E59" s="431" t="str">
        <f>IF('Cava Doors order'!E37="","",'Cava Doors order'!F37)</f>
        <v/>
      </c>
      <c r="F59" t="str">
        <f>IF('Cava Doors order'!E37="","",IF(VLOOKUP('Cava Doors order'!E37,BDD!B:AQ,42,0)="","",VLOOKUP('Cava Doors order'!E37,BDD!B:AQ,42,0)))</f>
        <v/>
      </c>
      <c r="G59" t="str">
        <f>IF('Cava Doors order'!B37="","",'Cava Doors order'!B37)</f>
        <v/>
      </c>
      <c r="H59" t="str">
        <f>IF('Cava Doors order'!C37="","",IF('Cava Doors order'!$N$7="mm",'Cava Doors order'!C37/25.4,'Cava Doors order'!C37))</f>
        <v/>
      </c>
      <c r="I59" t="str">
        <f>IF('Cava Doors order'!D37="","",IF('Cava Doors order'!$N$7="mm",'Cava Doors order'!D37/25.4,'Cava Doors order'!D37))</f>
        <v/>
      </c>
      <c r="J59" t="str">
        <f>IF('Cava Doors order'!E37="","",18)</f>
        <v/>
      </c>
      <c r="K59" t="str">
        <f>IF('Cava Doors order'!F37="","",IF('Cava Doors order'!F37="no grain",0,0))</f>
        <v/>
      </c>
      <c r="L59" t="str">
        <f>IF('Cava Doors order'!F37="","",IF('Doors order'!F37="no grain",0,0))</f>
        <v/>
      </c>
      <c r="M59" t="str">
        <f>IF('Cava Doors order'!G37="","",IF(VLOOKUP('Cava Doors order'!G37,BDD!$Y:$AT,22,0)="","",VLOOKUP('Cava Doors order'!G37,BDD!$Y:$AT,22,0)))</f>
        <v/>
      </c>
      <c r="N59" t="str">
        <f>IF('Cava Doors order'!H37="","",IF(VLOOKUP('Cava Doors order'!H37,BDD!$Y:$AT,22,0)="","",VLOOKUP('Cava Doors order'!H37,BDD!$Y:$AT,22,0)))</f>
        <v/>
      </c>
      <c r="O59" t="str">
        <f>IF('Cava Doors order'!I37="","",IF(VLOOKUP('Cava Doors order'!I37,BDD!$Y:$AT,22,0)="","",VLOOKUP('Cava Doors order'!I37,BDD!$Y:$AT,22,0)))</f>
        <v/>
      </c>
      <c r="P59" t="str">
        <f>IF('Cava Doors order'!J37="","",IF(VLOOKUP('Cava Doors order'!J37,BDD!$Y:$AT,22,0)="","",VLOOKUP('Cava Doors order'!J37,BDD!$Y:$AT,22,0)))</f>
        <v/>
      </c>
      <c r="Q59" t="str">
        <f>IF('Cava Doors order'!G37="","",IF(VLOOKUP('Cava Doors order'!G37,BDD!$Y:$AE,7,0)=1,"TRUE","FALSE"))</f>
        <v/>
      </c>
      <c r="R59" t="str">
        <f>IF('Cava Doors order'!H37="","",IF(VLOOKUP('Cava Doors order'!H37,BDD!$Y:$AE,7,0)=1,"TRUE","FALSE"))</f>
        <v/>
      </c>
      <c r="S59" t="str">
        <f>IF('Cava Doors order'!I37="","",IF(VLOOKUP('Cava Doors order'!I37,BDD!$Y:$AE,7,0)=1,"TRUE","FALSE"))</f>
        <v/>
      </c>
      <c r="T59" s="418" t="str">
        <f>IF('Cava Doors order'!J37="","",IF(VLOOKUP('Cava Doors order'!J37,BDD!$Y:$AE,7,0)=1,"TRUE","FALSE"))</f>
        <v/>
      </c>
    </row>
    <row r="60" spans="1:20" x14ac:dyDescent="0.25">
      <c r="A60" s="422" t="str">
        <f>IF(B60="","",IF(C60="","",IF('Cava Doors order'!$G$7="","",RIGHT(CONCATENATE("000000",'Cava Doors order'!$G$7), 6))))</f>
        <v/>
      </c>
      <c r="B60" t="str">
        <f>IF(C60="","",IF('Cava Doors order'!$A$7="","",'Cava Doors order'!$A$7))</f>
        <v/>
      </c>
      <c r="C60" s="64" t="str">
        <f>IF(D60="","",IF('Cava Doors order'!$K$7="","",'Cava Doors order'!$K$7))</f>
        <v/>
      </c>
      <c r="D60" s="431" t="str">
        <f>IF(E60="","",IF(VLOOKUP(F60,BDD!$AG$138:$AJ$161,3,0)=1,BDD!$AK$124,BDD!$AK$125))</f>
        <v/>
      </c>
      <c r="E60" s="431" t="str">
        <f>IF('Cava Doors order'!E38="","",'Cava Doors order'!F38)</f>
        <v/>
      </c>
      <c r="F60" t="str">
        <f>IF('Cava Doors order'!E38="","",IF(VLOOKUP('Cava Doors order'!E38,BDD!B:AQ,42,0)="","",VLOOKUP('Cava Doors order'!E38,BDD!B:AQ,42,0)))</f>
        <v/>
      </c>
      <c r="G60" t="str">
        <f>IF('Cava Doors order'!B38="","",'Cava Doors order'!B38)</f>
        <v/>
      </c>
      <c r="H60" t="str">
        <f>IF('Cava Doors order'!C38="","",IF('Cava Doors order'!$N$7="mm",'Cava Doors order'!C38/25.4,'Cava Doors order'!C38))</f>
        <v/>
      </c>
      <c r="I60" t="str">
        <f>IF('Cava Doors order'!D38="","",IF('Cava Doors order'!$N$7="mm",'Cava Doors order'!D38/25.4,'Cava Doors order'!D38))</f>
        <v/>
      </c>
      <c r="J60" t="str">
        <f>IF('Cava Doors order'!E38="","",18)</f>
        <v/>
      </c>
      <c r="K60" t="str">
        <f>IF('Cava Doors order'!F38="","",IF('Cava Doors order'!F38="no grain",0,0))</f>
        <v/>
      </c>
      <c r="L60" t="str">
        <f>IF('Cava Doors order'!F38="","",IF('Doors order'!F38="no grain",0,0))</f>
        <v/>
      </c>
      <c r="M60" t="str">
        <f>IF('Cava Doors order'!G38="","",IF(VLOOKUP('Cava Doors order'!G38,BDD!$Y:$AT,22,0)="","",VLOOKUP('Cava Doors order'!G38,BDD!$Y:$AT,22,0)))</f>
        <v/>
      </c>
      <c r="N60" t="str">
        <f>IF('Cava Doors order'!H38="","",IF(VLOOKUP('Cava Doors order'!H38,BDD!$Y:$AT,22,0)="","",VLOOKUP('Cava Doors order'!H38,BDD!$Y:$AT,22,0)))</f>
        <v/>
      </c>
      <c r="O60" t="str">
        <f>IF('Cava Doors order'!I38="","",IF(VLOOKUP('Cava Doors order'!I38,BDD!$Y:$AT,22,0)="","",VLOOKUP('Cava Doors order'!I38,BDD!$Y:$AT,22,0)))</f>
        <v/>
      </c>
      <c r="P60" t="str">
        <f>IF('Cava Doors order'!J38="","",IF(VLOOKUP('Cava Doors order'!J38,BDD!$Y:$AT,22,0)="","",VLOOKUP('Cava Doors order'!J38,BDD!$Y:$AT,22,0)))</f>
        <v/>
      </c>
      <c r="Q60" t="str">
        <f>IF('Cava Doors order'!G38="","",IF(VLOOKUP('Cava Doors order'!G38,BDD!$Y:$AE,7,0)=1,"TRUE","FALSE"))</f>
        <v/>
      </c>
      <c r="R60" t="str">
        <f>IF('Cava Doors order'!H38="","",IF(VLOOKUP('Cava Doors order'!H38,BDD!$Y:$AE,7,0)=1,"TRUE","FALSE"))</f>
        <v/>
      </c>
      <c r="S60" t="str">
        <f>IF('Cava Doors order'!I38="","",IF(VLOOKUP('Cava Doors order'!I38,BDD!$Y:$AE,7,0)=1,"TRUE","FALSE"))</f>
        <v/>
      </c>
      <c r="T60" s="418" t="str">
        <f>IF('Cava Doors order'!J38="","",IF(VLOOKUP('Cava Doors order'!J38,BDD!$Y:$AE,7,0)=1,"TRUE","FALSE"))</f>
        <v/>
      </c>
    </row>
    <row r="61" spans="1:20" x14ac:dyDescent="0.25">
      <c r="A61" s="423" t="str">
        <f>IF(B61="","",IF(C61="","",IF('Cava Doors order'!$G$7="","",RIGHT(CONCATENATE("000000",'Cava Doors order'!$G$7), 6))))</f>
        <v/>
      </c>
      <c r="B61" s="432" t="str">
        <f>IF(C61="","",IF('Cava Doors order'!$A$7="","",'Cava Doors order'!$A$7))</f>
        <v/>
      </c>
      <c r="C61" s="424" t="str">
        <f>IF(D61="","",IF('Cava Doors order'!$K$7="","",'Cava Doors order'!$K$7))</f>
        <v/>
      </c>
      <c r="D61" s="457" t="str">
        <f>IF(E61="","",IF(VLOOKUP(F61,BDD!$AG$138:$AJ$161,3,0)=1,BDD!$AK$124,BDD!$AK$125))</f>
        <v/>
      </c>
      <c r="E61" s="457" t="str">
        <f>IF('Cava Doors order'!E39="","",'Cava Doors order'!F39)</f>
        <v/>
      </c>
      <c r="F61" s="432" t="str">
        <f>IF('Cava Doors order'!E39="","",IF(VLOOKUP('Cava Doors order'!E39,BDD!B:AQ,42,0)="","",VLOOKUP('Cava Doors order'!E39,BDD!B:AQ,42,0)))</f>
        <v/>
      </c>
      <c r="G61" s="432" t="str">
        <f>IF('Cava Doors order'!B39="","",'Cava Doors order'!B39)</f>
        <v/>
      </c>
      <c r="H61" s="432" t="str">
        <f>IF('Cava Doors order'!C39="","",IF('Cava Doors order'!$N$7="mm",'Cava Doors order'!C39/25.4,'Cava Doors order'!C39))</f>
        <v/>
      </c>
      <c r="I61" s="432" t="str">
        <f>IF('Cava Doors order'!D39="","",IF('Cava Doors order'!$N$7="mm",'Cava Doors order'!D39/25.4,'Cava Doors order'!D39))</f>
        <v/>
      </c>
      <c r="J61" s="432" t="str">
        <f>IF('Cava Doors order'!E39="","",18)</f>
        <v/>
      </c>
      <c r="K61" s="432" t="str">
        <f>IF('Cava Doors order'!F39="","",IF('Cava Doors order'!F39="no grain",0,0))</f>
        <v/>
      </c>
      <c r="L61" s="432" t="str">
        <f>IF('Cava Doors order'!F39="","",IF('Doors order'!F39="no grain",0,0))</f>
        <v/>
      </c>
      <c r="M61" s="432" t="str">
        <f>IF('Cava Doors order'!G39="","",IF(VLOOKUP('Cava Doors order'!G39,BDD!$Y:$AT,22,0)="","",VLOOKUP('Cava Doors order'!G39,BDD!$Y:$AT,22,0)))</f>
        <v/>
      </c>
      <c r="N61" s="432" t="str">
        <f>IF('Cava Doors order'!H39="","",IF(VLOOKUP('Cava Doors order'!H39,BDD!$Y:$AT,22,0)="","",VLOOKUP('Cava Doors order'!H39,BDD!$Y:$AT,22,0)))</f>
        <v/>
      </c>
      <c r="O61" s="432" t="str">
        <f>IF('Cava Doors order'!I39="","",IF(VLOOKUP('Cava Doors order'!I39,BDD!$Y:$AT,22,0)="","",VLOOKUP('Cava Doors order'!I39,BDD!$Y:$AT,22,0)))</f>
        <v/>
      </c>
      <c r="P61" s="432" t="str">
        <f>IF('Cava Doors order'!J39="","",IF(VLOOKUP('Cava Doors order'!J39,BDD!$Y:$AT,22,0)="","",VLOOKUP('Cava Doors order'!J39,BDD!$Y:$AT,22,0)))</f>
        <v/>
      </c>
      <c r="Q61" s="432" t="str">
        <f>IF('Cava Doors order'!G39="","",IF(VLOOKUP('Cava Doors order'!G39,BDD!$Y:$AE,7,0)=1,"TRUE","FALSE"))</f>
        <v/>
      </c>
      <c r="R61" s="432" t="str">
        <f>IF('Cava Doors order'!H39="","",IF(VLOOKUP('Cava Doors order'!H39,BDD!$Y:$AE,7,0)=1,"TRUE","FALSE"))</f>
        <v/>
      </c>
      <c r="S61" s="432" t="str">
        <f>IF('Cava Doors order'!I39="","",IF(VLOOKUP('Cava Doors order'!I39,BDD!$Y:$AE,7,0)=1,"TRUE","FALSE"))</f>
        <v/>
      </c>
      <c r="T61" s="433" t="str">
        <f>IF('Cava Doors order'!J39="","",IF(VLOOKUP('Cava Doors order'!J39,BDD!$Y:$AE,7,0)=1,"TRUE","FALSE"))</f>
        <v/>
      </c>
    </row>
    <row r="62" spans="1:20" x14ac:dyDescent="0.25">
      <c r="A62" s="447"/>
      <c r="T62" s="418"/>
    </row>
  </sheetData>
  <sheetProtection password="CD8C"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R65"/>
  <sheetViews>
    <sheetView workbookViewId="0">
      <selection activeCell="A2" sqref="A2:XFD4"/>
    </sheetView>
  </sheetViews>
  <sheetFormatPr defaultColWidth="15.7109375" defaultRowHeight="15" x14ac:dyDescent="0.25"/>
  <cols>
    <col min="1" max="1" width="15.7109375" style="22" customWidth="1"/>
    <col min="2" max="2" width="14.85546875" customWidth="1"/>
    <col min="3" max="3" width="15.7109375" customWidth="1"/>
    <col min="4" max="4" width="15.7109375" style="431" customWidth="1"/>
    <col min="5" max="5" width="10.42578125" customWidth="1"/>
    <col min="6" max="6" width="25.42578125" customWidth="1"/>
    <col min="7" max="7" width="12.42578125" customWidth="1"/>
    <col min="8" max="8" width="26.7109375" customWidth="1"/>
    <col min="9" max="9" width="12.7109375" customWidth="1"/>
    <col min="10" max="13" width="15.7109375" customWidth="1"/>
    <col min="14" max="14" width="30.85546875" customWidth="1"/>
    <col min="15" max="15" width="20.42578125" customWidth="1"/>
    <col min="16" max="17" width="15.7109375" customWidth="1"/>
    <col min="18" max="18" width="34.140625" customWidth="1"/>
  </cols>
  <sheetData>
    <row r="1" spans="1:18" x14ac:dyDescent="0.25">
      <c r="A1" s="459" t="s">
        <v>795</v>
      </c>
      <c r="B1" s="416" t="s">
        <v>796</v>
      </c>
      <c r="C1" s="416" t="s">
        <v>797</v>
      </c>
      <c r="D1" s="445" t="s">
        <v>798</v>
      </c>
      <c r="E1" s="416" t="s">
        <v>799</v>
      </c>
      <c r="F1" s="416" t="s">
        <v>800</v>
      </c>
      <c r="G1" s="416" t="s">
        <v>801</v>
      </c>
      <c r="H1" s="416" t="s">
        <v>802</v>
      </c>
      <c r="I1" s="416" t="s">
        <v>803</v>
      </c>
      <c r="J1" s="416" t="s">
        <v>804</v>
      </c>
      <c r="K1" s="416" t="s">
        <v>805</v>
      </c>
      <c r="L1" s="416" t="s">
        <v>806</v>
      </c>
      <c r="M1" s="416" t="s">
        <v>807</v>
      </c>
      <c r="N1" s="416" t="s">
        <v>808</v>
      </c>
      <c r="O1" s="416" t="s">
        <v>809</v>
      </c>
      <c r="P1" s="416" t="s">
        <v>810</v>
      </c>
      <c r="Q1" s="416" t="s">
        <v>811</v>
      </c>
      <c r="R1" s="417" t="s">
        <v>803</v>
      </c>
    </row>
    <row r="2" spans="1:18" x14ac:dyDescent="0.25">
      <c r="A2" s="460" t="str">
        <f>IF(F2="","","1")</f>
        <v/>
      </c>
      <c r="B2" t="str">
        <f>IF(I2="","",'Cava Doors order'!$K$2)</f>
        <v/>
      </c>
      <c r="C2" s="464" t="str">
        <f>IF(B2="","",Production!AJ10)</f>
        <v/>
      </c>
      <c r="D2" s="465" t="str">
        <f>IF(C2="","",Production!AI10)</f>
        <v/>
      </c>
      <c r="E2" t="str">
        <f t="shared" ref="E2:E31" si="0">IF(F2="","",0.315)</f>
        <v/>
      </c>
      <c r="F2" t="str">
        <f>IF(G2="","",'Cava Doors order'!E10)</f>
        <v/>
      </c>
      <c r="G2" t="str">
        <f>IF(MainOther!E32="","",IF(MainOther!E32=BDD!$AM$124,"",IF(MainOther!E32=BDD!$AM$125,MainOther!G32,IF(MainOther!E32=BDD!$AM$126,MainOther!G32,IF(MainOther!E32=BDD!$AM$127,MainOther!G32*2,IF(MainOther!E32=BDD!$AM$128,MainOther!G32*3))))))</f>
        <v/>
      </c>
      <c r="H2" t="str">
        <f>R2</f>
        <v/>
      </c>
      <c r="I2" t="str">
        <f>IF(F2="","","PANEL")</f>
        <v/>
      </c>
      <c r="J2" t="str">
        <f>IF($G2="","",'Cava Doors order'!G10)</f>
        <v/>
      </c>
      <c r="K2" t="str">
        <f>IF($G2="","",'Cava Doors order'!H10)</f>
        <v/>
      </c>
      <c r="L2" t="str">
        <f>IF($G2="","",'Cava Doors order'!I10)</f>
        <v/>
      </c>
      <c r="M2" t="str">
        <f>IF($G2="","",'Cava Doors order'!J10)</f>
        <v/>
      </c>
      <c r="N2" t="str">
        <f>IF(G2="","",'Cava Doors order'!$E$7)</f>
        <v/>
      </c>
      <c r="O2" t="str">
        <f>IF(G2="","",'Cava Doors order'!$A$7)</f>
        <v/>
      </c>
      <c r="P2" s="443" t="str">
        <f>IF(O2="","",MainOther!C32)</f>
        <v/>
      </c>
      <c r="Q2" t="str">
        <f>IF(P2="","",CONCATENATE('Cava Doors order'!C10," ","X"," ",'Cava Doors order'!D10))</f>
        <v/>
      </c>
      <c r="R2" s="418" t="str">
        <f>IF(Q2="","",CONCATENATE(MainOther!E32," ",MainOther!D32))</f>
        <v/>
      </c>
    </row>
    <row r="3" spans="1:18" x14ac:dyDescent="0.25">
      <c r="A3" s="460" t="str">
        <f>IF(F3="","","2")</f>
        <v/>
      </c>
      <c r="B3" t="str">
        <f>IF(I3="","",'Cava Doors order'!$K$2)</f>
        <v/>
      </c>
      <c r="C3" s="464" t="str">
        <f>IF(B3="","",Production!AJ11)</f>
        <v/>
      </c>
      <c r="D3" s="465" t="str">
        <f>IF(C3="","",Production!AI11)</f>
        <v/>
      </c>
      <c r="E3" t="str">
        <f t="shared" si="0"/>
        <v/>
      </c>
      <c r="F3" t="str">
        <f>IF(G3="","",'Cava Doors order'!E11)</f>
        <v/>
      </c>
      <c r="G3" t="str">
        <f>IF(MainOther!E33="","",IF(MainOther!E33=BDD!$AM$124,"",IF(MainOther!E33=BDD!$AM$125,MainOther!G33,IF(MainOther!E33=BDD!$AM$126,MainOther!G33,IF(MainOther!E33=BDD!$AM$127,MainOther!G33*2,IF(MainOther!E33=BDD!$AM$128,MainOther!G33*3))))))</f>
        <v/>
      </c>
      <c r="H3" t="str">
        <f t="shared" ref="H3:H61" si="1">R3</f>
        <v/>
      </c>
      <c r="I3" t="str">
        <f t="shared" ref="I3:I61" si="2">IF(F3="","","PANEL")</f>
        <v/>
      </c>
      <c r="J3" t="str">
        <f>IF($G3="","",'Cava Doors order'!G11)</f>
        <v/>
      </c>
      <c r="K3" t="str">
        <f>IF($G3="","",'Cava Doors order'!H11)</f>
        <v/>
      </c>
      <c r="L3" t="str">
        <f>IF($G3="","",'Cava Doors order'!I11)</f>
        <v/>
      </c>
      <c r="M3" t="str">
        <f>IF($G3="","",'Cava Doors order'!J11)</f>
        <v/>
      </c>
      <c r="N3" t="str">
        <f>IF(G3="","",'Cava Doors order'!$E$7)</f>
        <v/>
      </c>
      <c r="O3" t="str">
        <f>IF(G3="","",'Cava Doors order'!$A$7)</f>
        <v/>
      </c>
      <c r="P3" s="443" t="str">
        <f>IF(O3="","",MainOther!C33)</f>
        <v/>
      </c>
      <c r="Q3" t="str">
        <f>IF(P3="","",CONCATENATE('Cava Doors order'!C11," ","X"," ",'Cava Doors order'!D11))</f>
        <v/>
      </c>
      <c r="R3" s="418" t="str">
        <f>IF(Q3="","",CONCATENATE(MainOther!E33," ",MainOther!D33))</f>
        <v/>
      </c>
    </row>
    <row r="4" spans="1:18" x14ac:dyDescent="0.25">
      <c r="A4" s="460" t="str">
        <f>IF(F4="","","3")</f>
        <v/>
      </c>
      <c r="B4" t="str">
        <f>IF(I4="","",'Cava Doors order'!$K$2)</f>
        <v/>
      </c>
      <c r="C4" s="464" t="str">
        <f>IF(B4="","",Production!AJ12)</f>
        <v/>
      </c>
      <c r="D4" s="465" t="str">
        <f>IF(C4="","",Production!AI12)</f>
        <v/>
      </c>
      <c r="E4" t="str">
        <f t="shared" si="0"/>
        <v/>
      </c>
      <c r="F4" t="str">
        <f>IF(G4="","",'Cava Doors order'!E12)</f>
        <v/>
      </c>
      <c r="G4" t="str">
        <f>IF(MainOther!E34="","",IF(MainOther!E34=BDD!$AM$124,"",IF(MainOther!E34=BDD!$AM$125,MainOther!G34,IF(MainOther!E34=BDD!$AM$126,MainOther!G34,IF(MainOther!E34=BDD!$AM$127,MainOther!G34*2,IF(MainOther!E34=BDD!$AM$128,MainOther!G34*3))))))</f>
        <v/>
      </c>
      <c r="H4" t="str">
        <f t="shared" si="1"/>
        <v/>
      </c>
      <c r="I4" t="str">
        <f t="shared" si="2"/>
        <v/>
      </c>
      <c r="J4" t="str">
        <f>IF($G4="","",'Cava Doors order'!G12)</f>
        <v/>
      </c>
      <c r="K4" t="str">
        <f>IF($G4="","",'Cava Doors order'!H12)</f>
        <v/>
      </c>
      <c r="L4" t="str">
        <f>IF($G4="","",'Cava Doors order'!I12)</f>
        <v/>
      </c>
      <c r="M4" t="str">
        <f>IF($G4="","",'Cava Doors order'!J12)</f>
        <v/>
      </c>
      <c r="N4" t="str">
        <f>IF(G4="","",'Cava Doors order'!$E$7)</f>
        <v/>
      </c>
      <c r="O4" t="str">
        <f>IF(G4="","",'Cava Doors order'!$A$7)</f>
        <v/>
      </c>
      <c r="P4" s="443" t="str">
        <f>IF(O4="","",MainOther!C34)</f>
        <v/>
      </c>
      <c r="Q4" t="str">
        <f>IF(P4="","",CONCATENATE('Cava Doors order'!C12," ","X"," ",'Cava Doors order'!D12))</f>
        <v/>
      </c>
      <c r="R4" s="418" t="str">
        <f>IF(Q4="","",CONCATENATE(MainOther!E34," ",MainOther!D34))</f>
        <v/>
      </c>
    </row>
    <row r="5" spans="1:18" x14ac:dyDescent="0.25">
      <c r="A5" s="460" t="str">
        <f>IF(F5="","","4")</f>
        <v/>
      </c>
      <c r="B5" t="str">
        <f>IF(I5="","",'Cava Doors order'!$K$2)</f>
        <v/>
      </c>
      <c r="C5" s="464" t="str">
        <f>IF(B5="","",Production!AJ13)</f>
        <v/>
      </c>
      <c r="D5" s="465" t="str">
        <f>IF(C5="","",Production!AI13)</f>
        <v/>
      </c>
      <c r="E5" t="str">
        <f t="shared" si="0"/>
        <v/>
      </c>
      <c r="F5" t="str">
        <f>IF(G5="","",'Cava Doors order'!E13)</f>
        <v/>
      </c>
      <c r="G5" t="str">
        <f>IF(MainOther!E35="","",IF(MainOther!E35=BDD!$AM$124,"",IF(MainOther!E35=BDD!$AM$125,MainOther!G35,IF(MainOther!E35=BDD!$AM$126,MainOther!G35,IF(MainOther!E35=BDD!$AM$127,MainOther!G35*2,IF(MainOther!E35=BDD!$AM$128,MainOther!G35*3))))))</f>
        <v/>
      </c>
      <c r="H5" t="str">
        <f t="shared" si="1"/>
        <v/>
      </c>
      <c r="I5" t="str">
        <f t="shared" si="2"/>
        <v/>
      </c>
      <c r="J5" t="str">
        <f>IF($G5="","",'Cava Doors order'!G13)</f>
        <v/>
      </c>
      <c r="K5" t="str">
        <f>IF($G5="","",'Cava Doors order'!H13)</f>
        <v/>
      </c>
      <c r="L5" t="str">
        <f>IF($G5="","",'Cava Doors order'!I13)</f>
        <v/>
      </c>
      <c r="M5" t="str">
        <f>IF($G5="","",'Cava Doors order'!J13)</f>
        <v/>
      </c>
      <c r="N5" t="str">
        <f>IF(G5="","",'Cava Doors order'!$E$7)</f>
        <v/>
      </c>
      <c r="O5" t="str">
        <f>IF(G5="","",'Cava Doors order'!$A$7)</f>
        <v/>
      </c>
      <c r="P5" s="443" t="str">
        <f>IF(O5="","",MainOther!C35)</f>
        <v/>
      </c>
      <c r="Q5" t="str">
        <f>IF(P5="","",CONCATENATE('Cava Doors order'!C13," ","X"," ",'Cava Doors order'!D13))</f>
        <v/>
      </c>
      <c r="R5" s="418" t="str">
        <f>IF(Q5="","",CONCATENATE(MainOther!E35," ",MainOther!D35))</f>
        <v/>
      </c>
    </row>
    <row r="6" spans="1:18" x14ac:dyDescent="0.25">
      <c r="A6" s="460" t="str">
        <f>IF(F6="","","5")</f>
        <v/>
      </c>
      <c r="B6" t="str">
        <f>IF(I6="","",'Cava Doors order'!$K$2)</f>
        <v/>
      </c>
      <c r="C6" s="464" t="str">
        <f>IF(B6="","",Production!AJ14)</f>
        <v/>
      </c>
      <c r="D6" s="465" t="str">
        <f>IF(C6="","",Production!AI14)</f>
        <v/>
      </c>
      <c r="E6" t="str">
        <f t="shared" si="0"/>
        <v/>
      </c>
      <c r="F6" t="str">
        <f>IF(G6="","",'Cava Doors order'!E14)</f>
        <v/>
      </c>
      <c r="G6" t="str">
        <f>IF(MainOther!E36="","",IF(MainOther!E36=BDD!$AM$124,"",IF(MainOther!E36=BDD!$AM$125,MainOther!G36,IF(MainOther!E36=BDD!$AM$126,MainOther!G36,IF(MainOther!E36=BDD!$AM$127,MainOther!G36*2,IF(MainOther!E36=BDD!$AM$128,MainOther!G36*3))))))</f>
        <v/>
      </c>
      <c r="H6" t="str">
        <f t="shared" si="1"/>
        <v/>
      </c>
      <c r="I6" t="str">
        <f t="shared" si="2"/>
        <v/>
      </c>
      <c r="J6" t="str">
        <f>IF($G6="","",'Cava Doors order'!G14)</f>
        <v/>
      </c>
      <c r="K6" t="str">
        <f>IF($G6="","",'Cava Doors order'!H14)</f>
        <v/>
      </c>
      <c r="L6" t="str">
        <f>IF($G6="","",'Cava Doors order'!I14)</f>
        <v/>
      </c>
      <c r="M6" t="str">
        <f>IF($G6="","",'Cava Doors order'!J14)</f>
        <v/>
      </c>
      <c r="N6" t="str">
        <f>IF(G6="","",'Cava Doors order'!$E$7)</f>
        <v/>
      </c>
      <c r="O6" t="str">
        <f>IF(G6="","",'Cava Doors order'!$A$7)</f>
        <v/>
      </c>
      <c r="P6" s="443" t="str">
        <f>IF(O6="","",MainOther!C36)</f>
        <v/>
      </c>
      <c r="Q6" t="str">
        <f>IF(P6="","",CONCATENATE('Cava Doors order'!C14," ","X"," ",'Cava Doors order'!D14))</f>
        <v/>
      </c>
      <c r="R6" s="418" t="str">
        <f>IF(Q6="","",CONCATENATE(MainOther!E36," ",MainOther!D36))</f>
        <v/>
      </c>
    </row>
    <row r="7" spans="1:18" x14ac:dyDescent="0.25">
      <c r="A7" s="460" t="str">
        <f>IF(F7="","","6")</f>
        <v/>
      </c>
      <c r="B7" t="str">
        <f>IF(I7="","",'Cava Doors order'!$K$2)</f>
        <v/>
      </c>
      <c r="C7" s="464" t="str">
        <f>IF(B7="","",Production!AJ15)</f>
        <v/>
      </c>
      <c r="D7" s="465" t="str">
        <f>IF(C7="","",Production!AI15)</f>
        <v/>
      </c>
      <c r="E7" t="str">
        <f t="shared" si="0"/>
        <v/>
      </c>
      <c r="F7" t="str">
        <f>IF(G7="","",'Cava Doors order'!E15)</f>
        <v/>
      </c>
      <c r="G7" t="str">
        <f>IF(MainOther!E37="","",IF(MainOther!E37=BDD!$AM$124,"",IF(MainOther!E37=BDD!$AM$125,MainOther!G37,IF(MainOther!E37=BDD!$AM$126,MainOther!G37,IF(MainOther!E37=BDD!$AM$127,MainOther!G37*2,IF(MainOther!E37=BDD!$AM$128,MainOther!G37*3))))))</f>
        <v/>
      </c>
      <c r="H7" t="str">
        <f t="shared" si="1"/>
        <v/>
      </c>
      <c r="I7" t="str">
        <f t="shared" si="2"/>
        <v/>
      </c>
      <c r="J7" t="str">
        <f>IF($G7="","",'Cava Doors order'!G15)</f>
        <v/>
      </c>
      <c r="K7" t="str">
        <f>IF($G7="","",'Cava Doors order'!H15)</f>
        <v/>
      </c>
      <c r="L7" t="str">
        <f>IF($G7="","",'Cava Doors order'!I15)</f>
        <v/>
      </c>
      <c r="M7" t="str">
        <f>IF($G7="","",'Cava Doors order'!J15)</f>
        <v/>
      </c>
      <c r="N7" t="str">
        <f>IF(G7="","",'Cava Doors order'!$E$7)</f>
        <v/>
      </c>
      <c r="O7" t="str">
        <f>IF(G7="","",'Cava Doors order'!$A$7)</f>
        <v/>
      </c>
      <c r="P7" s="443" t="str">
        <f>IF(O7="","",MainOther!C37)</f>
        <v/>
      </c>
      <c r="Q7" t="str">
        <f>IF(P7="","",CONCATENATE('Cava Doors order'!C15," ","X"," ",'Cava Doors order'!D15))</f>
        <v/>
      </c>
      <c r="R7" s="418" t="str">
        <f>IF(Q7="","",CONCATENATE(MainOther!E37," ",MainOther!D37))</f>
        <v/>
      </c>
    </row>
    <row r="8" spans="1:18" x14ac:dyDescent="0.25">
      <c r="A8" s="460" t="str">
        <f>IF(F8="","","7")</f>
        <v/>
      </c>
      <c r="B8" t="str">
        <f>IF(I8="","",'Cava Doors order'!$K$2)</f>
        <v/>
      </c>
      <c r="C8" s="464" t="str">
        <f>IF(B8="","",Production!AJ16)</f>
        <v/>
      </c>
      <c r="D8" s="465" t="str">
        <f>IF(C8="","",Production!AI16)</f>
        <v/>
      </c>
      <c r="E8" t="str">
        <f t="shared" si="0"/>
        <v/>
      </c>
      <c r="F8" t="str">
        <f>IF(G8="","",'Cava Doors order'!E16)</f>
        <v/>
      </c>
      <c r="G8" t="str">
        <f>IF(MainOther!E38="","",IF(MainOther!E38=BDD!$AM$124,"",IF(MainOther!E38=BDD!$AM$125,MainOther!G38,IF(MainOther!E38=BDD!$AM$126,MainOther!G38,IF(MainOther!E38=BDD!$AM$127,MainOther!G38*2,IF(MainOther!E38=BDD!$AM$128,MainOther!G38*3))))))</f>
        <v/>
      </c>
      <c r="H8" t="str">
        <f t="shared" si="1"/>
        <v/>
      </c>
      <c r="I8" t="str">
        <f t="shared" si="2"/>
        <v/>
      </c>
      <c r="J8" t="str">
        <f>IF($G8="","",'Cava Doors order'!G16)</f>
        <v/>
      </c>
      <c r="K8" t="str">
        <f>IF($G8="","",'Cava Doors order'!H16)</f>
        <v/>
      </c>
      <c r="L8" t="str">
        <f>IF($G8="","",'Cava Doors order'!I16)</f>
        <v/>
      </c>
      <c r="M8" t="str">
        <f>IF($G8="","",'Cava Doors order'!J16)</f>
        <v/>
      </c>
      <c r="N8" t="str">
        <f>IF(G8="","",'Cava Doors order'!$E$7)</f>
        <v/>
      </c>
      <c r="O8" t="str">
        <f>IF(G8="","",'Cava Doors order'!$A$7)</f>
        <v/>
      </c>
      <c r="P8" s="443" t="str">
        <f>IF(O8="","",MainOther!C38)</f>
        <v/>
      </c>
      <c r="Q8" t="str">
        <f>IF(P8="","",CONCATENATE('Cava Doors order'!C16," ","X"," ",'Cava Doors order'!D16))</f>
        <v/>
      </c>
      <c r="R8" s="418" t="str">
        <f>IF(Q8="","",CONCATENATE(MainOther!E38," ",MainOther!D38))</f>
        <v/>
      </c>
    </row>
    <row r="9" spans="1:18" x14ac:dyDescent="0.25">
      <c r="A9" s="460" t="str">
        <f>IF(F9="","","8")</f>
        <v/>
      </c>
      <c r="B9" t="str">
        <f>IF(I9="","",'Cava Doors order'!$K$2)</f>
        <v/>
      </c>
      <c r="C9" s="464" t="str">
        <f>IF(B9="","",Production!AJ17)</f>
        <v/>
      </c>
      <c r="D9" s="465" t="str">
        <f>IF(C9="","",Production!AI17)</f>
        <v/>
      </c>
      <c r="E9" t="str">
        <f t="shared" si="0"/>
        <v/>
      </c>
      <c r="F9" t="str">
        <f>IF(G9="","",'Cava Doors order'!E17)</f>
        <v/>
      </c>
      <c r="G9" t="str">
        <f>IF(MainOther!E39="","",IF(MainOther!E39=BDD!$AM$124,"",IF(MainOther!E39=BDD!$AM$125,MainOther!G39,IF(MainOther!E39=BDD!$AM$126,MainOther!G39,IF(MainOther!E39=BDD!$AM$127,MainOther!G39*2,IF(MainOther!E39=BDD!$AM$128,MainOther!G39*3))))))</f>
        <v/>
      </c>
      <c r="H9" t="str">
        <f t="shared" si="1"/>
        <v/>
      </c>
      <c r="I9" t="str">
        <f t="shared" si="2"/>
        <v/>
      </c>
      <c r="J9" t="str">
        <f>IF($G9="","",'Cava Doors order'!G17)</f>
        <v/>
      </c>
      <c r="K9" t="str">
        <f>IF($G9="","",'Cava Doors order'!H17)</f>
        <v/>
      </c>
      <c r="L9" t="str">
        <f>IF($G9="","",'Cava Doors order'!I17)</f>
        <v/>
      </c>
      <c r="M9" t="str">
        <f>IF($G9="","",'Cava Doors order'!J17)</f>
        <v/>
      </c>
      <c r="N9" t="str">
        <f>IF(G9="","",'Cava Doors order'!$E$7)</f>
        <v/>
      </c>
      <c r="O9" t="str">
        <f>IF(G9="","",'Cava Doors order'!$A$7)</f>
        <v/>
      </c>
      <c r="P9" s="443" t="str">
        <f>IF(O9="","",MainOther!C39)</f>
        <v/>
      </c>
      <c r="Q9" t="str">
        <f>IF(P9="","",CONCATENATE('Cava Doors order'!C17," ","X"," ",'Cava Doors order'!D17))</f>
        <v/>
      </c>
      <c r="R9" s="418" t="str">
        <f>IF(Q9="","",CONCATENATE(MainOther!E39," ",MainOther!D39))</f>
        <v/>
      </c>
    </row>
    <row r="10" spans="1:18" x14ac:dyDescent="0.25">
      <c r="A10" s="460" t="str">
        <f>IF(F10="","","9")</f>
        <v/>
      </c>
      <c r="B10" t="str">
        <f>IF(I10="","",'Cava Doors order'!$K$2)</f>
        <v/>
      </c>
      <c r="C10" s="464" t="str">
        <f>IF(B10="","",Production!AJ18)</f>
        <v/>
      </c>
      <c r="D10" s="465" t="str">
        <f>IF(C10="","",Production!AI18)</f>
        <v/>
      </c>
      <c r="E10" t="str">
        <f t="shared" si="0"/>
        <v/>
      </c>
      <c r="F10" t="str">
        <f>IF(G10="","",'Cava Doors order'!E18)</f>
        <v/>
      </c>
      <c r="G10" t="str">
        <f>IF(MainOther!E40="","",IF(MainOther!E40=BDD!$AM$124,"",IF(MainOther!E40=BDD!$AM$125,MainOther!G40,IF(MainOther!E40=BDD!$AM$126,MainOther!G40,IF(MainOther!E40=BDD!$AM$127,MainOther!G40*2,IF(MainOther!E40=BDD!$AM$128,MainOther!G40*3))))))</f>
        <v/>
      </c>
      <c r="H10" t="str">
        <f t="shared" si="1"/>
        <v/>
      </c>
      <c r="I10" t="str">
        <f t="shared" si="2"/>
        <v/>
      </c>
      <c r="J10" t="str">
        <f>IF($G10="","",'Cava Doors order'!G18)</f>
        <v/>
      </c>
      <c r="K10" t="str">
        <f>IF($G10="","",'Cava Doors order'!H18)</f>
        <v/>
      </c>
      <c r="L10" t="str">
        <f>IF($G10="","",'Cava Doors order'!I18)</f>
        <v/>
      </c>
      <c r="M10" t="str">
        <f>IF($G10="","",'Cava Doors order'!J18)</f>
        <v/>
      </c>
      <c r="N10" t="str">
        <f>IF(G10="","",'Cava Doors order'!$E$7)</f>
        <v/>
      </c>
      <c r="O10" t="str">
        <f>IF(G10="","",'Cava Doors order'!$A$7)</f>
        <v/>
      </c>
      <c r="P10" s="443" t="str">
        <f>IF(O10="","",MainOther!C40)</f>
        <v/>
      </c>
      <c r="Q10" t="str">
        <f>IF(P10="","",CONCATENATE('Cava Doors order'!C18," ","X"," ",'Cava Doors order'!D18))</f>
        <v/>
      </c>
      <c r="R10" s="418" t="str">
        <f>IF(Q10="","",CONCATENATE(MainOther!E40," ",MainOther!D40))</f>
        <v/>
      </c>
    </row>
    <row r="11" spans="1:18" x14ac:dyDescent="0.25">
      <c r="A11" s="460" t="str">
        <f>IF(F11="","","10")</f>
        <v/>
      </c>
      <c r="B11" t="str">
        <f>IF(I11="","",'Cava Doors order'!$K$2)</f>
        <v/>
      </c>
      <c r="C11" s="464" t="str">
        <f>IF(B11="","",Production!AJ19)</f>
        <v/>
      </c>
      <c r="D11" s="465" t="str">
        <f>IF(C11="","",Production!AI19)</f>
        <v/>
      </c>
      <c r="E11" t="str">
        <f t="shared" si="0"/>
        <v/>
      </c>
      <c r="F11" t="str">
        <f>IF(G11="","",'Cava Doors order'!E19)</f>
        <v/>
      </c>
      <c r="G11" t="str">
        <f>IF(MainOther!E41="","",IF(MainOther!E41=BDD!$AM$124,"",IF(MainOther!E41=BDD!$AM$125,MainOther!G41,IF(MainOther!E41=BDD!$AM$126,MainOther!G41,IF(MainOther!E41=BDD!$AM$127,MainOther!G41*2,IF(MainOther!E41=BDD!$AM$128,MainOther!G41*3))))))</f>
        <v/>
      </c>
      <c r="H11" t="str">
        <f t="shared" si="1"/>
        <v/>
      </c>
      <c r="I11" t="str">
        <f t="shared" si="2"/>
        <v/>
      </c>
      <c r="J11" t="str">
        <f>IF($G11="","",'Cava Doors order'!G19)</f>
        <v/>
      </c>
      <c r="K11" t="str">
        <f>IF($G11="","",'Cava Doors order'!H19)</f>
        <v/>
      </c>
      <c r="L11" t="str">
        <f>IF($G11="","",'Cava Doors order'!I19)</f>
        <v/>
      </c>
      <c r="M11" t="str">
        <f>IF($G11="","",'Cava Doors order'!J19)</f>
        <v/>
      </c>
      <c r="N11" t="str">
        <f>IF(G11="","",'Cava Doors order'!$E$7)</f>
        <v/>
      </c>
      <c r="O11" t="str">
        <f>IF(G11="","",'Cava Doors order'!$A$7)</f>
        <v/>
      </c>
      <c r="P11" s="443" t="str">
        <f>IF(O11="","",MainOther!C41)</f>
        <v/>
      </c>
      <c r="Q11" t="str">
        <f>IF(P11="","",CONCATENATE('Cava Doors order'!C19," ","X"," ",'Cava Doors order'!D19))</f>
        <v/>
      </c>
      <c r="R11" s="418" t="str">
        <f>IF(Q11="","",CONCATENATE(MainOther!E41," ",MainOther!D41))</f>
        <v/>
      </c>
    </row>
    <row r="12" spans="1:18" x14ac:dyDescent="0.25">
      <c r="A12" s="460" t="str">
        <f>IF(F12="","","11")</f>
        <v/>
      </c>
      <c r="B12" t="str">
        <f>IF(I12="","",'Cava Doors order'!$K$2)</f>
        <v/>
      </c>
      <c r="C12" s="464" t="str">
        <f>IF(B12="","",Production!AJ20)</f>
        <v/>
      </c>
      <c r="D12" s="465" t="str">
        <f>IF(C12="","",Production!AI20)</f>
        <v/>
      </c>
      <c r="E12" t="str">
        <f t="shared" si="0"/>
        <v/>
      </c>
      <c r="F12" t="str">
        <f>IF(G12="","",'Cava Doors order'!E20)</f>
        <v/>
      </c>
      <c r="G12" t="str">
        <f>IF(MainOther!E42="","",IF(MainOther!E42=BDD!$AM$124,"",IF(MainOther!E42=BDD!$AM$125,MainOther!G42,IF(MainOther!E42=BDD!$AM$126,MainOther!G42,IF(MainOther!E42=BDD!$AM$127,MainOther!G42*2,IF(MainOther!E42=BDD!$AM$128,MainOther!G42*3))))))</f>
        <v/>
      </c>
      <c r="H12" t="str">
        <f t="shared" si="1"/>
        <v/>
      </c>
      <c r="I12" t="str">
        <f t="shared" si="2"/>
        <v/>
      </c>
      <c r="J12" t="str">
        <f>IF($G12="","",'Cava Doors order'!G20)</f>
        <v/>
      </c>
      <c r="K12" t="str">
        <f>IF($G12="","",'Cava Doors order'!H20)</f>
        <v/>
      </c>
      <c r="L12" t="str">
        <f>IF($G12="","",'Cava Doors order'!I20)</f>
        <v/>
      </c>
      <c r="M12" t="str">
        <f>IF($G12="","",'Cava Doors order'!J20)</f>
        <v/>
      </c>
      <c r="N12" t="str">
        <f>IF(G12="","",'Cava Doors order'!$E$7)</f>
        <v/>
      </c>
      <c r="O12" t="str">
        <f>IF(G12="","",'Cava Doors order'!$A$7)</f>
        <v/>
      </c>
      <c r="P12" s="443" t="str">
        <f>IF(O12="","",MainOther!C42)</f>
        <v/>
      </c>
      <c r="Q12" t="str">
        <f>IF(P12="","",CONCATENATE('Cava Doors order'!C20," ","X"," ",'Cava Doors order'!D20))</f>
        <v/>
      </c>
      <c r="R12" s="418" t="str">
        <f>IF(Q12="","",CONCATENATE(MainOther!E42," ",MainOther!D42))</f>
        <v/>
      </c>
    </row>
    <row r="13" spans="1:18" x14ac:dyDescent="0.25">
      <c r="A13" s="460" t="str">
        <f>IF(F13="","","12")</f>
        <v/>
      </c>
      <c r="B13" t="str">
        <f>IF(I13="","",'Cava Doors order'!$K$2)</f>
        <v/>
      </c>
      <c r="C13" s="464" t="str">
        <f>IF(B13="","",Production!AJ21)</f>
        <v/>
      </c>
      <c r="D13" s="465" t="str">
        <f>IF(C13="","",Production!AI21)</f>
        <v/>
      </c>
      <c r="E13" t="str">
        <f t="shared" si="0"/>
        <v/>
      </c>
      <c r="F13" t="str">
        <f>IF(G13="","",'Cava Doors order'!E21)</f>
        <v/>
      </c>
      <c r="G13" t="str">
        <f>IF(MainOther!E43="","",IF(MainOther!E43=BDD!$AM$124,"",IF(MainOther!E43=BDD!$AM$125,MainOther!G43,IF(MainOther!E43=BDD!$AM$126,MainOther!G43,IF(MainOther!E43=BDD!$AM$127,MainOther!G43*2,IF(MainOther!E43=BDD!$AM$128,MainOther!G43*3))))))</f>
        <v/>
      </c>
      <c r="H13" t="str">
        <f t="shared" si="1"/>
        <v/>
      </c>
      <c r="I13" t="str">
        <f t="shared" si="2"/>
        <v/>
      </c>
      <c r="J13" t="str">
        <f>IF($G13="","",'Cava Doors order'!G21)</f>
        <v/>
      </c>
      <c r="K13" t="str">
        <f>IF($G13="","",'Cava Doors order'!H21)</f>
        <v/>
      </c>
      <c r="L13" t="str">
        <f>IF($G13="","",'Cava Doors order'!I21)</f>
        <v/>
      </c>
      <c r="M13" t="str">
        <f>IF($G13="","",'Cava Doors order'!J21)</f>
        <v/>
      </c>
      <c r="N13" t="str">
        <f>IF(G13="","",'Cava Doors order'!$E$7)</f>
        <v/>
      </c>
      <c r="O13" t="str">
        <f>IF(G13="","",'Cava Doors order'!$A$7)</f>
        <v/>
      </c>
      <c r="P13" s="443" t="str">
        <f>IF(O13="","",MainOther!C43)</f>
        <v/>
      </c>
      <c r="Q13" t="str">
        <f>IF(P13="","",CONCATENATE('Cava Doors order'!C21," ","X"," ",'Cava Doors order'!D21))</f>
        <v/>
      </c>
      <c r="R13" s="418" t="str">
        <f>IF(Q13="","",CONCATENATE(MainOther!E43," ",MainOther!D43))</f>
        <v/>
      </c>
    </row>
    <row r="14" spans="1:18" x14ac:dyDescent="0.25">
      <c r="A14" s="460" t="str">
        <f>IF(F14="","","13")</f>
        <v/>
      </c>
      <c r="B14" t="str">
        <f>IF(I14="","",'Cava Doors order'!$K$2)</f>
        <v/>
      </c>
      <c r="C14" s="464" t="str">
        <f>IF(B14="","",Production!AJ22)</f>
        <v/>
      </c>
      <c r="D14" s="465" t="str">
        <f>IF(C14="","",Production!AI22)</f>
        <v/>
      </c>
      <c r="E14" t="str">
        <f t="shared" si="0"/>
        <v/>
      </c>
      <c r="F14" t="str">
        <f>IF(G14="","",'Cava Doors order'!E22)</f>
        <v/>
      </c>
      <c r="G14" t="str">
        <f>IF(MainOther!E44="","",IF(MainOther!E44=BDD!$AM$124,"",IF(MainOther!E44=BDD!$AM$125,MainOther!G44,IF(MainOther!E44=BDD!$AM$126,MainOther!G44,IF(MainOther!E44=BDD!$AM$127,MainOther!G44*2,IF(MainOther!E44=BDD!$AM$128,MainOther!G44*3))))))</f>
        <v/>
      </c>
      <c r="H14" t="str">
        <f t="shared" si="1"/>
        <v/>
      </c>
      <c r="I14" t="str">
        <f t="shared" si="2"/>
        <v/>
      </c>
      <c r="J14" t="str">
        <f>IF($G14="","",'Cava Doors order'!G22)</f>
        <v/>
      </c>
      <c r="K14" t="str">
        <f>IF($G14="","",'Cava Doors order'!H22)</f>
        <v/>
      </c>
      <c r="L14" t="str">
        <f>IF($G14="","",'Cava Doors order'!I22)</f>
        <v/>
      </c>
      <c r="M14" t="str">
        <f>IF($G14="","",'Cava Doors order'!J22)</f>
        <v/>
      </c>
      <c r="N14" t="str">
        <f>IF(G14="","",'Cava Doors order'!$E$7)</f>
        <v/>
      </c>
      <c r="O14" t="str">
        <f>IF(G14="","",'Cava Doors order'!$A$7)</f>
        <v/>
      </c>
      <c r="P14" s="443" t="str">
        <f>IF(O14="","",MainOther!C44)</f>
        <v/>
      </c>
      <c r="Q14" t="str">
        <f>IF(P14="","",CONCATENATE('Cava Doors order'!C22," ","X"," ",'Cava Doors order'!D22))</f>
        <v/>
      </c>
      <c r="R14" s="418" t="str">
        <f>IF(Q14="","",CONCATENATE(MainOther!E44," ",MainOther!D44))</f>
        <v/>
      </c>
    </row>
    <row r="15" spans="1:18" x14ac:dyDescent="0.25">
      <c r="A15" s="460" t="str">
        <f>IF(F15="","","14")</f>
        <v/>
      </c>
      <c r="B15" t="str">
        <f>IF(I15="","",'Cava Doors order'!$K$2)</f>
        <v/>
      </c>
      <c r="C15" s="464" t="str">
        <f>IF(B15="","",Production!AJ23)</f>
        <v/>
      </c>
      <c r="D15" s="465" t="str">
        <f>IF(C15="","",Production!AI23)</f>
        <v/>
      </c>
      <c r="E15" t="str">
        <f t="shared" si="0"/>
        <v/>
      </c>
      <c r="F15" t="str">
        <f>IF(G15="","",'Cava Doors order'!E23)</f>
        <v/>
      </c>
      <c r="G15" t="str">
        <f>IF(MainOther!E45="","",IF(MainOther!E45=BDD!$AM$124,"",IF(MainOther!E45=BDD!$AM$125,MainOther!G45,IF(MainOther!E45=BDD!$AM$126,MainOther!G45,IF(MainOther!E45=BDD!$AM$127,MainOther!G45*2,IF(MainOther!E45=BDD!$AM$128,MainOther!G45*3))))))</f>
        <v/>
      </c>
      <c r="H15" t="str">
        <f t="shared" si="1"/>
        <v/>
      </c>
      <c r="I15" t="str">
        <f t="shared" si="2"/>
        <v/>
      </c>
      <c r="J15" t="str">
        <f>IF($G15="","",'Cava Doors order'!G23)</f>
        <v/>
      </c>
      <c r="K15" t="str">
        <f>IF($G15="","",'Cava Doors order'!H23)</f>
        <v/>
      </c>
      <c r="L15" t="str">
        <f>IF($G15="","",'Cava Doors order'!I23)</f>
        <v/>
      </c>
      <c r="M15" t="str">
        <f>IF($G15="","",'Cava Doors order'!J23)</f>
        <v/>
      </c>
      <c r="N15" t="str">
        <f>IF(G15="","",'Cava Doors order'!$E$7)</f>
        <v/>
      </c>
      <c r="O15" t="str">
        <f>IF(G15="","",'Cava Doors order'!$A$7)</f>
        <v/>
      </c>
      <c r="P15" s="443" t="str">
        <f>IF(O15="","",MainOther!C45)</f>
        <v/>
      </c>
      <c r="Q15" t="str">
        <f>IF(P15="","",CONCATENATE('Cava Doors order'!C23," ","X"," ",'Cava Doors order'!D23))</f>
        <v/>
      </c>
      <c r="R15" s="418" t="str">
        <f>IF(Q15="","",CONCATENATE(MainOther!E45," ",MainOther!D45))</f>
        <v/>
      </c>
    </row>
    <row r="16" spans="1:18" x14ac:dyDescent="0.25">
      <c r="A16" s="460" t="str">
        <f>IF(F16="","","15")</f>
        <v/>
      </c>
      <c r="B16" t="str">
        <f>IF(I16="","",'Cava Doors order'!$K$2)</f>
        <v/>
      </c>
      <c r="C16" s="464" t="str">
        <f>IF(B16="","",Production!AJ24)</f>
        <v/>
      </c>
      <c r="D16" s="465" t="str">
        <f>IF(C16="","",Production!AI24)</f>
        <v/>
      </c>
      <c r="E16" t="str">
        <f t="shared" si="0"/>
        <v/>
      </c>
      <c r="F16" t="str">
        <f>IF(G16="","",'Cava Doors order'!E24)</f>
        <v/>
      </c>
      <c r="G16" t="str">
        <f>IF(MainOther!E46="","",IF(MainOther!E46=BDD!$AM$124,"",IF(MainOther!E46=BDD!$AM$125,MainOther!G46,IF(MainOther!E46=BDD!$AM$126,MainOther!G46,IF(MainOther!E46=BDD!$AM$127,MainOther!G46*2,IF(MainOther!E46=BDD!$AM$128,MainOther!G46*3))))))</f>
        <v/>
      </c>
      <c r="H16" t="str">
        <f t="shared" si="1"/>
        <v/>
      </c>
      <c r="I16" t="str">
        <f t="shared" si="2"/>
        <v/>
      </c>
      <c r="J16" t="str">
        <f>IF($G16="","",'Cava Doors order'!G24)</f>
        <v/>
      </c>
      <c r="K16" t="str">
        <f>IF($G16="","",'Cava Doors order'!H24)</f>
        <v/>
      </c>
      <c r="L16" t="str">
        <f>IF($G16="","",'Cava Doors order'!I24)</f>
        <v/>
      </c>
      <c r="M16" t="str">
        <f>IF($G16="","",'Cava Doors order'!J24)</f>
        <v/>
      </c>
      <c r="N16" t="str">
        <f>IF(G16="","",'Cava Doors order'!$E$7)</f>
        <v/>
      </c>
      <c r="O16" t="str">
        <f>IF(G16="","",'Cava Doors order'!$A$7)</f>
        <v/>
      </c>
      <c r="P16" s="443" t="str">
        <f>IF(O16="","",MainOther!C46)</f>
        <v/>
      </c>
      <c r="Q16" t="str">
        <f>IF(P16="","",CONCATENATE('Cava Doors order'!C24," ","X"," ",'Cava Doors order'!D24))</f>
        <v/>
      </c>
      <c r="R16" s="418" t="str">
        <f>IF(Q16="","",CONCATENATE(MainOther!E46," ",MainOther!D46))</f>
        <v/>
      </c>
    </row>
    <row r="17" spans="1:18" x14ac:dyDescent="0.25">
      <c r="A17" s="460" t="str">
        <f>IF(F17="","","16")</f>
        <v/>
      </c>
      <c r="B17" t="str">
        <f>IF(I17="","",'Cava Doors order'!$K$2)</f>
        <v/>
      </c>
      <c r="C17" s="464" t="str">
        <f>IF(B17="","",Production!AJ25)</f>
        <v/>
      </c>
      <c r="D17" s="465" t="str">
        <f>IF(C17="","",Production!AI25)</f>
        <v/>
      </c>
      <c r="E17" t="str">
        <f t="shared" si="0"/>
        <v/>
      </c>
      <c r="F17" t="str">
        <f>IF(G17="","",'Cava Doors order'!E25)</f>
        <v/>
      </c>
      <c r="G17" t="str">
        <f>IF(MainOther!E47="","",IF(MainOther!E47=BDD!$AM$124,"",IF(MainOther!E47=BDD!$AM$125,MainOther!G47,IF(MainOther!E47=BDD!$AM$126,MainOther!G47,IF(MainOther!E47=BDD!$AM$127,MainOther!G47*2,IF(MainOther!E47=BDD!$AM$128,MainOther!G47*3))))))</f>
        <v/>
      </c>
      <c r="H17" t="str">
        <f t="shared" si="1"/>
        <v/>
      </c>
      <c r="I17" t="str">
        <f t="shared" si="2"/>
        <v/>
      </c>
      <c r="J17" t="str">
        <f>IF($G17="","",'Cava Doors order'!G25)</f>
        <v/>
      </c>
      <c r="K17" t="str">
        <f>IF($G17="","",'Cava Doors order'!H25)</f>
        <v/>
      </c>
      <c r="L17" t="str">
        <f>IF($G17="","",'Cava Doors order'!I25)</f>
        <v/>
      </c>
      <c r="M17" t="str">
        <f>IF($G17="","",'Cava Doors order'!J25)</f>
        <v/>
      </c>
      <c r="N17" t="str">
        <f>IF(G17="","",'Cava Doors order'!$E$7)</f>
        <v/>
      </c>
      <c r="O17" t="str">
        <f>IF(G17="","",'Cava Doors order'!$A$7)</f>
        <v/>
      </c>
      <c r="P17" s="443" t="str">
        <f>IF(O17="","",MainOther!C47)</f>
        <v/>
      </c>
      <c r="Q17" t="str">
        <f>IF(P17="","",CONCATENATE('Cava Doors order'!C25," ","X"," ",'Cava Doors order'!D25))</f>
        <v/>
      </c>
      <c r="R17" s="418" t="str">
        <f>IF(Q17="","",CONCATENATE(MainOther!E47," ",MainOther!D47))</f>
        <v/>
      </c>
    </row>
    <row r="18" spans="1:18" x14ac:dyDescent="0.25">
      <c r="A18" s="460" t="str">
        <f>IF(F18="","","17")</f>
        <v/>
      </c>
      <c r="B18" t="str">
        <f>IF(I18="","",'Cava Doors order'!$K$2)</f>
        <v/>
      </c>
      <c r="C18" s="464" t="str">
        <f>IF(B18="","",Production!AJ26)</f>
        <v/>
      </c>
      <c r="D18" s="465" t="str">
        <f>IF(C18="","",Production!AI26)</f>
        <v/>
      </c>
      <c r="E18" t="str">
        <f t="shared" si="0"/>
        <v/>
      </c>
      <c r="F18" t="str">
        <f>IF(G18="","",'Cava Doors order'!E26)</f>
        <v/>
      </c>
      <c r="G18" t="str">
        <f>IF(MainOther!E48="","",IF(MainOther!E48=BDD!$AM$124,"",IF(MainOther!E48=BDD!$AM$125,MainOther!G48,IF(MainOther!E48=BDD!$AM$126,MainOther!G48,IF(MainOther!E48=BDD!$AM$127,MainOther!G48*2,IF(MainOther!E48=BDD!$AM$128,MainOther!G48*3))))))</f>
        <v/>
      </c>
      <c r="H18" t="str">
        <f t="shared" si="1"/>
        <v/>
      </c>
      <c r="I18" t="str">
        <f t="shared" si="2"/>
        <v/>
      </c>
      <c r="J18" t="str">
        <f>IF($G18="","",'Cava Doors order'!G26)</f>
        <v/>
      </c>
      <c r="K18" t="str">
        <f>IF($G18="","",'Cava Doors order'!H26)</f>
        <v/>
      </c>
      <c r="L18" t="str">
        <f>IF($G18="","",'Cava Doors order'!I26)</f>
        <v/>
      </c>
      <c r="M18" t="str">
        <f>IF($G18="","",'Cava Doors order'!J26)</f>
        <v/>
      </c>
      <c r="N18" t="str">
        <f>IF(G18="","",'Cava Doors order'!$E$7)</f>
        <v/>
      </c>
      <c r="O18" t="str">
        <f>IF(G18="","",'Cava Doors order'!$A$7)</f>
        <v/>
      </c>
      <c r="P18" s="443" t="str">
        <f>IF(O18="","",MainOther!C48)</f>
        <v/>
      </c>
      <c r="Q18" t="str">
        <f>IF(P18="","",CONCATENATE('Cava Doors order'!C26," ","X"," ",'Cava Doors order'!D26))</f>
        <v/>
      </c>
      <c r="R18" s="418" t="str">
        <f>IF(Q18="","",CONCATENATE(MainOther!E48," ",MainOther!D48))</f>
        <v/>
      </c>
    </row>
    <row r="19" spans="1:18" x14ac:dyDescent="0.25">
      <c r="A19" s="460" t="str">
        <f>IF(F19="","","18")</f>
        <v/>
      </c>
      <c r="B19" t="str">
        <f>IF(I19="","",'Cava Doors order'!$K$2)</f>
        <v/>
      </c>
      <c r="C19" s="464" t="str">
        <f>IF(B19="","",Production!AJ27)</f>
        <v/>
      </c>
      <c r="D19" s="465" t="str">
        <f>IF(C19="","",Production!AI27)</f>
        <v/>
      </c>
      <c r="E19" t="str">
        <f t="shared" si="0"/>
        <v/>
      </c>
      <c r="F19" t="str">
        <f>IF(G19="","",'Cava Doors order'!E27)</f>
        <v/>
      </c>
      <c r="G19" t="str">
        <f>IF(MainOther!E49="","",IF(MainOther!E49=BDD!$AM$124,"",IF(MainOther!E49=BDD!$AM$125,MainOther!G49,IF(MainOther!E49=BDD!$AM$126,MainOther!G49,IF(MainOther!E49=BDD!$AM$127,MainOther!G49*2,IF(MainOther!E49=BDD!$AM$128,MainOther!G49*3))))))</f>
        <v/>
      </c>
      <c r="H19" t="str">
        <f t="shared" si="1"/>
        <v/>
      </c>
      <c r="I19" t="str">
        <f t="shared" si="2"/>
        <v/>
      </c>
      <c r="J19" t="str">
        <f>IF($G19="","",'Cava Doors order'!G27)</f>
        <v/>
      </c>
      <c r="K19" t="str">
        <f>IF($G19="","",'Cava Doors order'!H27)</f>
        <v/>
      </c>
      <c r="L19" t="str">
        <f>IF($G19="","",'Cava Doors order'!I27)</f>
        <v/>
      </c>
      <c r="M19" t="str">
        <f>IF($G19="","",'Cava Doors order'!J27)</f>
        <v/>
      </c>
      <c r="N19" t="str">
        <f>IF(G19="","",'Cava Doors order'!$E$7)</f>
        <v/>
      </c>
      <c r="O19" t="str">
        <f>IF(G19="","",'Cava Doors order'!$A$7)</f>
        <v/>
      </c>
      <c r="P19" s="443" t="str">
        <f>IF(O19="","",MainOther!C49)</f>
        <v/>
      </c>
      <c r="Q19" t="str">
        <f>IF(P19="","",CONCATENATE('Cava Doors order'!C27," ","X"," ",'Cava Doors order'!D27))</f>
        <v/>
      </c>
      <c r="R19" s="418" t="str">
        <f>IF(Q19="","",CONCATENATE(MainOther!E49," ",MainOther!D49))</f>
        <v/>
      </c>
    </row>
    <row r="20" spans="1:18" x14ac:dyDescent="0.25">
      <c r="A20" s="460" t="str">
        <f>IF(F20="","","19")</f>
        <v/>
      </c>
      <c r="B20" t="str">
        <f>IF(I20="","",'Cava Doors order'!$K$2)</f>
        <v/>
      </c>
      <c r="C20" s="464" t="str">
        <f>IF(B20="","",Production!AJ28)</f>
        <v/>
      </c>
      <c r="D20" s="465" t="str">
        <f>IF(C20="","",Production!AI28)</f>
        <v/>
      </c>
      <c r="E20" t="str">
        <f t="shared" si="0"/>
        <v/>
      </c>
      <c r="F20" t="str">
        <f>IF(G20="","",'Cava Doors order'!E28)</f>
        <v/>
      </c>
      <c r="G20" t="str">
        <f>IF(MainOther!E50="","",IF(MainOther!E50=BDD!$AM$124,"",IF(MainOther!E50=BDD!$AM$125,MainOther!G50,IF(MainOther!E50=BDD!$AM$126,MainOther!G50,IF(MainOther!E50=BDD!$AM$127,MainOther!G50*2,IF(MainOther!E50=BDD!$AM$128,MainOther!G50*3))))))</f>
        <v/>
      </c>
      <c r="H20" t="str">
        <f t="shared" si="1"/>
        <v/>
      </c>
      <c r="I20" t="str">
        <f t="shared" si="2"/>
        <v/>
      </c>
      <c r="J20" t="str">
        <f>IF($G20="","",'Cava Doors order'!G28)</f>
        <v/>
      </c>
      <c r="K20" t="str">
        <f>IF($G20="","",'Cava Doors order'!H28)</f>
        <v/>
      </c>
      <c r="L20" t="str">
        <f>IF($G20="","",'Cava Doors order'!I28)</f>
        <v/>
      </c>
      <c r="M20" t="str">
        <f>IF($G20="","",'Cava Doors order'!J28)</f>
        <v/>
      </c>
      <c r="N20" t="str">
        <f>IF(G20="","",'Cava Doors order'!$E$7)</f>
        <v/>
      </c>
      <c r="O20" t="str">
        <f>IF(G20="","",'Cava Doors order'!$A$7)</f>
        <v/>
      </c>
      <c r="P20" s="443" t="str">
        <f>IF(O20="","",MainOther!C50)</f>
        <v/>
      </c>
      <c r="Q20" t="str">
        <f>IF(P20="","",CONCATENATE('Cava Doors order'!C28," ","X"," ",'Cava Doors order'!D28))</f>
        <v/>
      </c>
      <c r="R20" s="418" t="str">
        <f>IF(Q20="","",CONCATENATE(MainOther!E50," ",MainOther!D50))</f>
        <v/>
      </c>
    </row>
    <row r="21" spans="1:18" x14ac:dyDescent="0.25">
      <c r="A21" s="460" t="str">
        <f>IF(F21="","","20")</f>
        <v/>
      </c>
      <c r="B21" t="str">
        <f>IF(I21="","",'Cava Doors order'!$K$2)</f>
        <v/>
      </c>
      <c r="C21" s="464" t="str">
        <f>IF(B21="","",Production!AJ29)</f>
        <v/>
      </c>
      <c r="D21" s="465" t="str">
        <f>IF(C21="","",Production!AI29)</f>
        <v/>
      </c>
      <c r="E21" t="str">
        <f t="shared" si="0"/>
        <v/>
      </c>
      <c r="F21" t="str">
        <f>IF(G21="","",'Cava Doors order'!E29)</f>
        <v/>
      </c>
      <c r="G21" t="str">
        <f>IF(MainOther!E51="","",IF(MainOther!E51=BDD!$AM$124,"",IF(MainOther!E51=BDD!$AM$125,MainOther!G51,IF(MainOther!E51=BDD!$AM$126,MainOther!G51,IF(MainOther!E51=BDD!$AM$127,MainOther!G51*2,IF(MainOther!E51=BDD!$AM$128,MainOther!G51*3))))))</f>
        <v/>
      </c>
      <c r="H21" t="str">
        <f t="shared" si="1"/>
        <v/>
      </c>
      <c r="I21" t="str">
        <f t="shared" si="2"/>
        <v/>
      </c>
      <c r="J21" t="str">
        <f>IF($G21="","",'Cava Doors order'!G29)</f>
        <v/>
      </c>
      <c r="K21" t="str">
        <f>IF($G21="","",'Cava Doors order'!H29)</f>
        <v/>
      </c>
      <c r="L21" t="str">
        <f>IF($G21="","",'Cava Doors order'!I29)</f>
        <v/>
      </c>
      <c r="M21" t="str">
        <f>IF($G21="","",'Cava Doors order'!J29)</f>
        <v/>
      </c>
      <c r="N21" t="str">
        <f>IF(G21="","",'Cava Doors order'!$E$7)</f>
        <v/>
      </c>
      <c r="O21" t="str">
        <f>IF(G21="","",'Cava Doors order'!$A$7)</f>
        <v/>
      </c>
      <c r="P21" s="443" t="str">
        <f>IF(O21="","",MainOther!C51)</f>
        <v/>
      </c>
      <c r="Q21" t="str">
        <f>IF(P21="","",CONCATENATE('Cava Doors order'!C29," ","X"," ",'Cava Doors order'!D29))</f>
        <v/>
      </c>
      <c r="R21" s="418" t="str">
        <f>IF(Q21="","",CONCATENATE(MainOther!E51," ",MainOther!D51))</f>
        <v/>
      </c>
    </row>
    <row r="22" spans="1:18" x14ac:dyDescent="0.25">
      <c r="A22" s="460" t="str">
        <f>IF(F22="","","21")</f>
        <v/>
      </c>
      <c r="B22" t="str">
        <f>IF(I22="","",'Cava Doors order'!$K$2)</f>
        <v/>
      </c>
      <c r="C22" s="464" t="str">
        <f>IF(B22="","",Production!AJ30)</f>
        <v/>
      </c>
      <c r="D22" s="465" t="str">
        <f>IF(C22="","",Production!AI30)</f>
        <v/>
      </c>
      <c r="E22" t="str">
        <f t="shared" si="0"/>
        <v/>
      </c>
      <c r="F22" t="str">
        <f>IF(G22="","",'Cava Doors order'!E30)</f>
        <v/>
      </c>
      <c r="G22" t="str">
        <f>IF(MainOther!E52="","",IF(MainOther!E52=BDD!$AM$124,"",IF(MainOther!E52=BDD!$AM$125,MainOther!G52,IF(MainOther!E52=BDD!$AM$126,MainOther!G52,IF(MainOther!E52=BDD!$AM$127,MainOther!G52*2,IF(MainOther!E52=BDD!$AM$128,MainOther!G52*3))))))</f>
        <v/>
      </c>
      <c r="H22" t="str">
        <f t="shared" si="1"/>
        <v/>
      </c>
      <c r="I22" t="str">
        <f t="shared" si="2"/>
        <v/>
      </c>
      <c r="J22" t="str">
        <f>IF($G22="","",'Cava Doors order'!G30)</f>
        <v/>
      </c>
      <c r="K22" t="str">
        <f>IF($G22="","",'Cava Doors order'!H30)</f>
        <v/>
      </c>
      <c r="L22" t="str">
        <f>IF($G22="","",'Cava Doors order'!I30)</f>
        <v/>
      </c>
      <c r="M22" t="str">
        <f>IF($G22="","",'Cava Doors order'!J30)</f>
        <v/>
      </c>
      <c r="N22" t="str">
        <f>IF(G22="","",'Cava Doors order'!$E$7)</f>
        <v/>
      </c>
      <c r="O22" t="str">
        <f>IF(G22="","",'Cava Doors order'!$A$7)</f>
        <v/>
      </c>
      <c r="P22" s="443" t="str">
        <f>IF(O22="","",MainOther!C52)</f>
        <v/>
      </c>
      <c r="Q22" t="str">
        <f>IF(P22="","",CONCATENATE('Cava Doors order'!C30," ","X"," ",'Cava Doors order'!D30))</f>
        <v/>
      </c>
      <c r="R22" s="418" t="str">
        <f>IF(Q22="","",CONCATENATE(MainOther!E52," ",MainOther!D52))</f>
        <v/>
      </c>
    </row>
    <row r="23" spans="1:18" x14ac:dyDescent="0.25">
      <c r="A23" s="460" t="str">
        <f>IF(F23="","","22")</f>
        <v/>
      </c>
      <c r="B23" t="str">
        <f>IF(I23="","",'Cava Doors order'!$K$2)</f>
        <v/>
      </c>
      <c r="C23" s="464" t="str">
        <f>IF(B23="","",Production!AJ31)</f>
        <v/>
      </c>
      <c r="D23" s="465" t="str">
        <f>IF(C23="","",Production!AI31)</f>
        <v/>
      </c>
      <c r="E23" t="str">
        <f t="shared" si="0"/>
        <v/>
      </c>
      <c r="F23" t="str">
        <f>IF(G23="","",'Cava Doors order'!E31)</f>
        <v/>
      </c>
      <c r="G23" t="str">
        <f>IF(MainOther!E53="","",IF(MainOther!E53=BDD!$AM$124,"",IF(MainOther!E53=BDD!$AM$125,MainOther!G53,IF(MainOther!E53=BDD!$AM$126,MainOther!G53,IF(MainOther!E53=BDD!$AM$127,MainOther!G53*2,IF(MainOther!E53=BDD!$AM$128,MainOther!G53*3))))))</f>
        <v/>
      </c>
      <c r="H23" t="str">
        <f t="shared" si="1"/>
        <v/>
      </c>
      <c r="I23" t="str">
        <f t="shared" si="2"/>
        <v/>
      </c>
      <c r="J23" t="str">
        <f>IF($G23="","",'Cava Doors order'!G31)</f>
        <v/>
      </c>
      <c r="K23" t="str">
        <f>IF($G23="","",'Cava Doors order'!H31)</f>
        <v/>
      </c>
      <c r="L23" t="str">
        <f>IF($G23="","",'Cava Doors order'!I31)</f>
        <v/>
      </c>
      <c r="M23" t="str">
        <f>IF($G23="","",'Cava Doors order'!J31)</f>
        <v/>
      </c>
      <c r="N23" t="str">
        <f>IF(G23="","",'Cava Doors order'!$E$7)</f>
        <v/>
      </c>
      <c r="O23" t="str">
        <f>IF(G23="","",'Cava Doors order'!$A$7)</f>
        <v/>
      </c>
      <c r="P23" s="443" t="str">
        <f>IF(O23="","",MainOther!C53)</f>
        <v/>
      </c>
      <c r="Q23" t="str">
        <f>IF(P23="","",CONCATENATE('Cava Doors order'!C31," ","X"," ",'Cava Doors order'!D31))</f>
        <v/>
      </c>
      <c r="R23" s="418" t="str">
        <f>IF(Q23="","",CONCATENATE(MainOther!E53," ",MainOther!D53))</f>
        <v/>
      </c>
    </row>
    <row r="24" spans="1:18" x14ac:dyDescent="0.25">
      <c r="A24" s="460" t="str">
        <f>IF(F24="","","23")</f>
        <v/>
      </c>
      <c r="B24" t="str">
        <f>IF(I24="","",'Cava Doors order'!$K$2)</f>
        <v/>
      </c>
      <c r="C24" s="464" t="str">
        <f>IF(B24="","",Production!AJ32)</f>
        <v/>
      </c>
      <c r="D24" s="465" t="str">
        <f>IF(C24="","",Production!AI32)</f>
        <v/>
      </c>
      <c r="E24" t="str">
        <f t="shared" si="0"/>
        <v/>
      </c>
      <c r="F24" t="str">
        <f>IF(G24="","",'Cava Doors order'!E32)</f>
        <v/>
      </c>
      <c r="G24" t="str">
        <f>IF(MainOther!E54="","",IF(MainOther!E54=BDD!$AM$124,"",IF(MainOther!E54=BDD!$AM$125,MainOther!G54,IF(MainOther!E54=BDD!$AM$126,MainOther!G54,IF(MainOther!E54=BDD!$AM$127,MainOther!G54*2,IF(MainOther!E54=BDD!$AM$128,MainOther!G54*3))))))</f>
        <v/>
      </c>
      <c r="H24" t="str">
        <f t="shared" si="1"/>
        <v/>
      </c>
      <c r="I24" t="str">
        <f t="shared" si="2"/>
        <v/>
      </c>
      <c r="J24" t="str">
        <f>IF($G24="","",'Cava Doors order'!G32)</f>
        <v/>
      </c>
      <c r="K24" t="str">
        <f>IF($G24="","",'Cava Doors order'!H32)</f>
        <v/>
      </c>
      <c r="L24" t="str">
        <f>IF($G24="","",'Cava Doors order'!I32)</f>
        <v/>
      </c>
      <c r="M24" t="str">
        <f>IF($G24="","",'Cava Doors order'!J32)</f>
        <v/>
      </c>
      <c r="N24" t="str">
        <f>IF(G24="","",'Cava Doors order'!$E$7)</f>
        <v/>
      </c>
      <c r="O24" t="str">
        <f>IF(G24="","",'Cava Doors order'!$A$7)</f>
        <v/>
      </c>
      <c r="P24" s="443" t="str">
        <f>IF(O24="","",MainOther!C54)</f>
        <v/>
      </c>
      <c r="Q24" t="str">
        <f>IF(P24="","",CONCATENATE('Cava Doors order'!C32," ","X"," ",'Cava Doors order'!D32))</f>
        <v/>
      </c>
      <c r="R24" s="418" t="str">
        <f>IF(Q24="","",CONCATENATE(MainOther!E54," ",MainOther!D54))</f>
        <v/>
      </c>
    </row>
    <row r="25" spans="1:18" x14ac:dyDescent="0.25">
      <c r="A25" s="460" t="str">
        <f>IF(F25="","","24")</f>
        <v/>
      </c>
      <c r="B25" t="str">
        <f>IF(I25="","",'Cava Doors order'!$K$2)</f>
        <v/>
      </c>
      <c r="C25" s="464" t="str">
        <f>IF(B25="","",Production!AJ33)</f>
        <v/>
      </c>
      <c r="D25" s="465" t="str">
        <f>IF(C25="","",Production!AI33)</f>
        <v/>
      </c>
      <c r="E25" t="str">
        <f t="shared" si="0"/>
        <v/>
      </c>
      <c r="F25" t="str">
        <f>IF(G25="","",'Cava Doors order'!E33)</f>
        <v/>
      </c>
      <c r="G25" t="str">
        <f>IF(MainOther!E55="","",IF(MainOther!E55=BDD!$AM$124,"",IF(MainOther!E55=BDD!$AM$125,MainOther!G55,IF(MainOther!E55=BDD!$AM$126,MainOther!G55,IF(MainOther!E55=BDD!$AM$127,MainOther!G55*2,IF(MainOther!E55=BDD!$AM$128,MainOther!G55*3))))))</f>
        <v/>
      </c>
      <c r="H25" t="str">
        <f t="shared" si="1"/>
        <v/>
      </c>
      <c r="I25" t="str">
        <f t="shared" si="2"/>
        <v/>
      </c>
      <c r="J25" t="str">
        <f>IF($G25="","",'Cava Doors order'!G33)</f>
        <v/>
      </c>
      <c r="K25" t="str">
        <f>IF($G25="","",'Cava Doors order'!H33)</f>
        <v/>
      </c>
      <c r="L25" t="str">
        <f>IF($G25="","",'Cava Doors order'!I33)</f>
        <v/>
      </c>
      <c r="M25" t="str">
        <f>IF($G25="","",'Cava Doors order'!J33)</f>
        <v/>
      </c>
      <c r="N25" t="str">
        <f>IF(G25="","",'Cava Doors order'!$E$7)</f>
        <v/>
      </c>
      <c r="O25" t="str">
        <f>IF(G25="","",'Cava Doors order'!$A$7)</f>
        <v/>
      </c>
      <c r="P25" s="443" t="str">
        <f>IF(O25="","",MainOther!C55)</f>
        <v/>
      </c>
      <c r="Q25" t="str">
        <f>IF(P25="","",CONCATENATE('Cava Doors order'!C33," ","X"," ",'Cava Doors order'!D33))</f>
        <v/>
      </c>
      <c r="R25" s="418" t="str">
        <f>IF(Q25="","",CONCATENATE(MainOther!E55," ",MainOther!D55))</f>
        <v/>
      </c>
    </row>
    <row r="26" spans="1:18" x14ac:dyDescent="0.25">
      <c r="A26" s="460" t="str">
        <f>IF(F26="","","25")</f>
        <v/>
      </c>
      <c r="B26" t="str">
        <f>IF(I26="","",'Cava Doors order'!$K$2)</f>
        <v/>
      </c>
      <c r="C26" s="464" t="str">
        <f>IF(B26="","",Production!AJ34)</f>
        <v/>
      </c>
      <c r="D26" s="465" t="str">
        <f>IF(C26="","",Production!AI34)</f>
        <v/>
      </c>
      <c r="E26" t="str">
        <f t="shared" si="0"/>
        <v/>
      </c>
      <c r="F26" t="str">
        <f>IF(G26="","",'Cava Doors order'!E34)</f>
        <v/>
      </c>
      <c r="G26" t="str">
        <f>IF(MainOther!E56="","",IF(MainOther!E56=BDD!$AM$124,"",IF(MainOther!E56=BDD!$AM$125,MainOther!G56,IF(MainOther!E56=BDD!$AM$126,MainOther!G56,IF(MainOther!E56=BDD!$AM$127,MainOther!G56*2,IF(MainOther!E56=BDD!$AM$128,MainOther!G56*3))))))</f>
        <v/>
      </c>
      <c r="H26" t="str">
        <f t="shared" si="1"/>
        <v/>
      </c>
      <c r="I26" t="str">
        <f t="shared" si="2"/>
        <v/>
      </c>
      <c r="J26" t="str">
        <f>IF($G26="","",'Cava Doors order'!G34)</f>
        <v/>
      </c>
      <c r="K26" t="str">
        <f>IF($G26="","",'Cava Doors order'!H34)</f>
        <v/>
      </c>
      <c r="L26" t="str">
        <f>IF($G26="","",'Cava Doors order'!I34)</f>
        <v/>
      </c>
      <c r="M26" t="str">
        <f>IF($G26="","",'Cava Doors order'!J34)</f>
        <v/>
      </c>
      <c r="N26" t="str">
        <f>IF(G26="","",'Cava Doors order'!$E$7)</f>
        <v/>
      </c>
      <c r="O26" t="str">
        <f>IF(G26="","",'Cava Doors order'!$A$7)</f>
        <v/>
      </c>
      <c r="P26" s="443" t="str">
        <f>IF(O26="","",MainOther!C56)</f>
        <v/>
      </c>
      <c r="Q26" t="str">
        <f>IF(P26="","",CONCATENATE('Cava Doors order'!C34," ","X"," ",'Cava Doors order'!D34))</f>
        <v/>
      </c>
      <c r="R26" s="418" t="str">
        <f>IF(Q26="","",CONCATENATE(MainOther!E56," ",MainOther!D56))</f>
        <v/>
      </c>
    </row>
    <row r="27" spans="1:18" x14ac:dyDescent="0.25">
      <c r="A27" s="460" t="str">
        <f>IF(F27="","","26")</f>
        <v/>
      </c>
      <c r="B27" t="str">
        <f>IF(I27="","",'Cava Doors order'!$K$2)</f>
        <v/>
      </c>
      <c r="C27" s="464" t="str">
        <f>IF(B27="","",Production!AJ35)</f>
        <v/>
      </c>
      <c r="D27" s="465" t="str">
        <f>IF(C27="","",Production!AI35)</f>
        <v/>
      </c>
      <c r="E27" t="str">
        <f t="shared" si="0"/>
        <v/>
      </c>
      <c r="F27" t="str">
        <f>IF(G27="","",'Cava Doors order'!E35)</f>
        <v/>
      </c>
      <c r="G27" t="str">
        <f>IF(MainOther!E57="","",IF(MainOther!E57=BDD!$AM$124,"",IF(MainOther!E57=BDD!$AM$125,MainOther!G57,IF(MainOther!E57=BDD!$AM$126,MainOther!G57,IF(MainOther!E57=BDD!$AM$127,MainOther!G57*2,IF(MainOther!E57=BDD!$AM$128,MainOther!G57*3))))))</f>
        <v/>
      </c>
      <c r="H27" t="str">
        <f t="shared" si="1"/>
        <v/>
      </c>
      <c r="I27" t="str">
        <f t="shared" si="2"/>
        <v/>
      </c>
      <c r="J27" t="str">
        <f>IF($G27="","",'Cava Doors order'!G35)</f>
        <v/>
      </c>
      <c r="K27" t="str">
        <f>IF($G27="","",'Cava Doors order'!H35)</f>
        <v/>
      </c>
      <c r="L27" t="str">
        <f>IF($G27="","",'Cava Doors order'!I35)</f>
        <v/>
      </c>
      <c r="M27" t="str">
        <f>IF($G27="","",'Cava Doors order'!J35)</f>
        <v/>
      </c>
      <c r="N27" t="str">
        <f>IF(G27="","",'Cava Doors order'!$E$7)</f>
        <v/>
      </c>
      <c r="O27" t="str">
        <f>IF(G27="","",'Cava Doors order'!$A$7)</f>
        <v/>
      </c>
      <c r="P27" s="443" t="str">
        <f>IF(O27="","",MainOther!C57)</f>
        <v/>
      </c>
      <c r="Q27" t="str">
        <f>IF(P27="","",CONCATENATE('Cava Doors order'!C35," ","X"," ",'Cava Doors order'!D35))</f>
        <v/>
      </c>
      <c r="R27" s="418" t="str">
        <f>IF(Q27="","",CONCATENATE(MainOther!E57," ",MainOther!D57))</f>
        <v/>
      </c>
    </row>
    <row r="28" spans="1:18" x14ac:dyDescent="0.25">
      <c r="A28" s="460" t="str">
        <f>IF(F28="","","27")</f>
        <v/>
      </c>
      <c r="B28" t="str">
        <f>IF(I28="","",'Cava Doors order'!$K$2)</f>
        <v/>
      </c>
      <c r="C28" s="464" t="str">
        <f>IF(B28="","",Production!AJ36)</f>
        <v/>
      </c>
      <c r="D28" s="465" t="str">
        <f>IF(C28="","",Production!AI36)</f>
        <v/>
      </c>
      <c r="E28" t="str">
        <f t="shared" si="0"/>
        <v/>
      </c>
      <c r="F28" t="str">
        <f>IF(G28="","",'Cava Doors order'!E36)</f>
        <v/>
      </c>
      <c r="G28" t="str">
        <f>IF(MainOther!E58="","",IF(MainOther!E58=BDD!$AM$124,"",IF(MainOther!E58=BDD!$AM$125,MainOther!G58,IF(MainOther!E58=BDD!$AM$126,MainOther!G58,IF(MainOther!E58=BDD!$AM$127,MainOther!G58*2,IF(MainOther!E58=BDD!$AM$128,MainOther!G58*3))))))</f>
        <v/>
      </c>
      <c r="H28" t="str">
        <f t="shared" si="1"/>
        <v/>
      </c>
      <c r="I28" t="str">
        <f t="shared" si="2"/>
        <v/>
      </c>
      <c r="J28" t="str">
        <f>IF($G28="","",'Cava Doors order'!G36)</f>
        <v/>
      </c>
      <c r="K28" t="str">
        <f>IF($G28="","",'Cava Doors order'!H36)</f>
        <v/>
      </c>
      <c r="L28" t="str">
        <f>IF($G28="","",'Cava Doors order'!I36)</f>
        <v/>
      </c>
      <c r="M28" t="str">
        <f>IF($G28="","",'Cava Doors order'!J36)</f>
        <v/>
      </c>
      <c r="N28" t="str">
        <f>IF(G28="","",'Cava Doors order'!$E$7)</f>
        <v/>
      </c>
      <c r="O28" t="str">
        <f>IF(G28="","",'Cava Doors order'!$A$7)</f>
        <v/>
      </c>
      <c r="P28" s="443" t="str">
        <f>IF(O28="","",MainOther!C58)</f>
        <v/>
      </c>
      <c r="Q28" t="str">
        <f>IF(P28="","",CONCATENATE('Cava Doors order'!C36," ","X"," ",'Cava Doors order'!D36))</f>
        <v/>
      </c>
      <c r="R28" s="418" t="str">
        <f>IF(Q28="","",CONCATENATE(MainOther!E58," ",MainOther!D58))</f>
        <v/>
      </c>
    </row>
    <row r="29" spans="1:18" x14ac:dyDescent="0.25">
      <c r="A29" s="460" t="str">
        <f>IF(F29="","","28")</f>
        <v/>
      </c>
      <c r="B29" t="str">
        <f>IF(I29="","",'Cava Doors order'!$K$2)</f>
        <v/>
      </c>
      <c r="C29" s="464" t="str">
        <f>IF(B29="","",Production!AJ37)</f>
        <v/>
      </c>
      <c r="D29" s="465" t="str">
        <f>IF(C29="","",Production!AI37)</f>
        <v/>
      </c>
      <c r="E29" t="str">
        <f t="shared" si="0"/>
        <v/>
      </c>
      <c r="F29" t="str">
        <f>IF(G29="","",'Cava Doors order'!E37)</f>
        <v/>
      </c>
      <c r="G29" t="str">
        <f>IF(MainOther!E59="","",IF(MainOther!E59=BDD!$AM$124,"",IF(MainOther!E59=BDD!$AM$125,MainOther!G59,IF(MainOther!E59=BDD!$AM$126,MainOther!G59,IF(MainOther!E59=BDD!$AM$127,MainOther!G59*2,IF(MainOther!E59=BDD!$AM$128,MainOther!G59*3))))))</f>
        <v/>
      </c>
      <c r="H29" t="str">
        <f t="shared" si="1"/>
        <v/>
      </c>
      <c r="I29" t="str">
        <f t="shared" si="2"/>
        <v/>
      </c>
      <c r="J29" t="str">
        <f>IF($G29="","",'Cava Doors order'!G37)</f>
        <v/>
      </c>
      <c r="K29" t="str">
        <f>IF($G29="","",'Cava Doors order'!H37)</f>
        <v/>
      </c>
      <c r="L29" t="str">
        <f>IF($G29="","",'Cava Doors order'!I37)</f>
        <v/>
      </c>
      <c r="M29" t="str">
        <f>IF($G29="","",'Cava Doors order'!J37)</f>
        <v/>
      </c>
      <c r="N29" t="str">
        <f>IF(G29="","",'Cava Doors order'!$E$7)</f>
        <v/>
      </c>
      <c r="O29" t="str">
        <f>IF(G29="","",'Cava Doors order'!$A$7)</f>
        <v/>
      </c>
      <c r="P29" s="443" t="str">
        <f>IF(O29="","",MainOther!C59)</f>
        <v/>
      </c>
      <c r="Q29" t="str">
        <f>IF(P29="","",CONCATENATE('Cava Doors order'!C37," ","X"," ",'Cava Doors order'!D37))</f>
        <v/>
      </c>
      <c r="R29" s="418" t="str">
        <f>IF(Q29="","",CONCATENATE(MainOther!E59," ",MainOther!D59))</f>
        <v/>
      </c>
    </row>
    <row r="30" spans="1:18" x14ac:dyDescent="0.25">
      <c r="A30" s="460" t="str">
        <f>IF(F30="","","29")</f>
        <v/>
      </c>
      <c r="B30" t="str">
        <f>IF(I30="","",'Cava Doors order'!$K$2)</f>
        <v/>
      </c>
      <c r="C30" s="464" t="str">
        <f>IF(B30="","",Production!AJ38)</f>
        <v/>
      </c>
      <c r="D30" s="465" t="str">
        <f>IF(C30="","",Production!AI38)</f>
        <v/>
      </c>
      <c r="E30" t="str">
        <f t="shared" si="0"/>
        <v/>
      </c>
      <c r="F30" t="str">
        <f>IF(G30="","",'Cava Doors order'!E38)</f>
        <v/>
      </c>
      <c r="G30" t="str">
        <f>IF(MainOther!E60="","",IF(MainOther!E60=BDD!$AM$124,"",IF(MainOther!E60=BDD!$AM$125,MainOther!G60,IF(MainOther!E60=BDD!$AM$126,MainOther!G60,IF(MainOther!E60=BDD!$AM$127,MainOther!G60*2,IF(MainOther!E60=BDD!$AM$128,MainOther!G60*3))))))</f>
        <v/>
      </c>
      <c r="H30" t="str">
        <f t="shared" si="1"/>
        <v/>
      </c>
      <c r="I30" t="str">
        <f t="shared" si="2"/>
        <v/>
      </c>
      <c r="J30" t="str">
        <f>IF($G30="","",'Cava Doors order'!G38)</f>
        <v/>
      </c>
      <c r="K30" t="str">
        <f>IF($G30="","",'Cava Doors order'!H38)</f>
        <v/>
      </c>
      <c r="L30" t="str">
        <f>IF($G30="","",'Cava Doors order'!I38)</f>
        <v/>
      </c>
      <c r="M30" t="str">
        <f>IF($G30="","",'Cava Doors order'!J38)</f>
        <v/>
      </c>
      <c r="N30" t="str">
        <f>IF(G30="","",'Cava Doors order'!$E$7)</f>
        <v/>
      </c>
      <c r="O30" t="str">
        <f>IF(G30="","",'Cava Doors order'!$A$7)</f>
        <v/>
      </c>
      <c r="P30" s="443" t="str">
        <f>IF(O30="","",MainOther!C60)</f>
        <v/>
      </c>
      <c r="Q30" t="str">
        <f>IF(P30="","",CONCATENATE('Cava Doors order'!C38," ","X"," ",'Cava Doors order'!D38))</f>
        <v/>
      </c>
      <c r="R30" s="418" t="str">
        <f>IF(Q30="","",CONCATENATE(MainOther!E60," ",MainOther!D60))</f>
        <v/>
      </c>
    </row>
    <row r="31" spans="1:18" x14ac:dyDescent="0.25">
      <c r="A31" s="460" t="str">
        <f>IF(F31="","","30")</f>
        <v/>
      </c>
      <c r="B31" t="str">
        <f>IF(I31="","",'Cava Doors order'!$K$2)</f>
        <v/>
      </c>
      <c r="C31" s="464" t="str">
        <f>IF(B31="","",Production!AJ39)</f>
        <v/>
      </c>
      <c r="D31" s="465" t="str">
        <f>IF(C31="","",Production!AI39)</f>
        <v/>
      </c>
      <c r="E31" t="str">
        <f t="shared" si="0"/>
        <v/>
      </c>
      <c r="F31" t="str">
        <f>IF(G31="","",'Cava Doors order'!E39)</f>
        <v/>
      </c>
      <c r="G31" t="str">
        <f>IF(MainOther!E61="","",IF(MainOther!E61=BDD!$AM$124,"",IF(MainOther!E61=BDD!$AM$125,MainOther!G61,IF(MainOther!E61=BDD!$AM$126,MainOther!G61,IF(MainOther!E61=BDD!$AM$127,MainOther!G61*2,IF(MainOther!E61=BDD!$AM$128,MainOther!G61*3))))))</f>
        <v/>
      </c>
      <c r="H31" t="str">
        <f t="shared" si="1"/>
        <v/>
      </c>
      <c r="I31" t="str">
        <f t="shared" si="2"/>
        <v/>
      </c>
      <c r="J31" t="str">
        <f>IF($G31="","",'Cava Doors order'!G39)</f>
        <v/>
      </c>
      <c r="K31" t="str">
        <f>IF($G31="","",'Cava Doors order'!H39)</f>
        <v/>
      </c>
      <c r="L31" t="str">
        <f>IF($G31="","",'Cava Doors order'!I39)</f>
        <v/>
      </c>
      <c r="M31" t="str">
        <f>IF($G31="","",'Cava Doors order'!J39)</f>
        <v/>
      </c>
      <c r="N31" t="str">
        <f>IF(G31="","",'Cava Doors order'!$E$7)</f>
        <v/>
      </c>
      <c r="O31" t="str">
        <f>IF(G31="","",'Cava Doors order'!$A$7)</f>
        <v/>
      </c>
      <c r="P31" s="443" t="str">
        <f>IF(O31="","",MainOther!C61)</f>
        <v/>
      </c>
      <c r="Q31" t="str">
        <f>IF(P31="","",CONCATENATE('Cava Doors order'!C39," ","X"," ",'Cava Doors order'!D39))</f>
        <v/>
      </c>
      <c r="R31" s="418" t="str">
        <f>IF(Q31="","",CONCATENATE(MainOther!E61," ",MainOther!D61))</f>
        <v/>
      </c>
    </row>
    <row r="32" spans="1:18" x14ac:dyDescent="0.25">
      <c r="A32" s="460" t="str">
        <f>IF(F32="","","1")</f>
        <v/>
      </c>
      <c r="B32" s="416" t="str">
        <f>IF(I32="","",'Cava Doors order'!$K$2)</f>
        <v/>
      </c>
      <c r="C32" s="466" t="str">
        <f>IF(B32="","",'Cava Doors order'!D10)</f>
        <v/>
      </c>
      <c r="D32" s="467" t="str">
        <f>IF(B32="","",'Cava Doors order'!C10-6)</f>
        <v/>
      </c>
      <c r="E32" s="416" t="str">
        <f>IF(F32="","",0.71)</f>
        <v/>
      </c>
      <c r="F32" s="416" t="str">
        <f>IF(G32="","",'Cava Doors order'!E10)</f>
        <v/>
      </c>
      <c r="G32" s="416" t="str">
        <f>IF(MainOther!E32="","",IF(MainOther!E32=BDD!$AM$124,MainOther!G32,""))</f>
        <v/>
      </c>
      <c r="H32" s="416" t="str">
        <f t="shared" si="1"/>
        <v/>
      </c>
      <c r="I32" s="416" t="str">
        <f t="shared" si="2"/>
        <v/>
      </c>
      <c r="J32" s="416" t="str">
        <f>IF($G32="","",'Cava Doors order'!G10)</f>
        <v/>
      </c>
      <c r="K32" s="416" t="str">
        <f>IF($G32="","",'Cava Doors order'!H10)</f>
        <v/>
      </c>
      <c r="L32" s="416" t="str">
        <f>IF($G32="","",'Cava Doors order'!I10)</f>
        <v/>
      </c>
      <c r="M32" s="416" t="str">
        <f>IF($G32="","",'Cava Doors order'!J10)</f>
        <v/>
      </c>
      <c r="N32" s="416" t="str">
        <f>IF(G32="","",'Cava Doors order'!$E$7)</f>
        <v/>
      </c>
      <c r="O32" s="416" t="str">
        <f>IF(G32="","",'Cava Doors order'!$A$7)</f>
        <v/>
      </c>
      <c r="P32" s="446" t="str">
        <f>IF(A32="","",MainOther!C32)</f>
        <v/>
      </c>
      <c r="Q32" s="416" t="str">
        <f>IF(A32="","",CONCATENATE('Cava Doors order'!C10," ","X"," ",'Cava Doors order'!D10))</f>
        <v/>
      </c>
      <c r="R32" s="417" t="str">
        <f>IF(Q32="","",CONCATENATE(MainOther!E32," ",MainOther!D32))</f>
        <v/>
      </c>
    </row>
    <row r="33" spans="1:18" x14ac:dyDescent="0.25">
      <c r="A33" s="460" t="str">
        <f>IF(F33="","","2")</f>
        <v/>
      </c>
      <c r="B33" t="str">
        <f>IF(I33="","",'Cava Doors order'!$K$2)</f>
        <v/>
      </c>
      <c r="C33" s="464" t="str">
        <f>IF(B33="","",'Cava Doors order'!D11)</f>
        <v/>
      </c>
      <c r="D33" s="468" t="str">
        <f>IF(B33="","",'Cava Doors order'!C11-6)</f>
        <v/>
      </c>
      <c r="E33" t="str">
        <f t="shared" ref="E33:E61" si="3">IF(F33="","",0.71)</f>
        <v/>
      </c>
      <c r="F33" t="str">
        <f>IF(G33="","",'Cava Doors order'!E11)</f>
        <v/>
      </c>
      <c r="G33" t="str">
        <f>IF(MainOther!E33="","",IF(MainOther!E33=BDD!$AM$124,MainOther!G33,""))</f>
        <v/>
      </c>
      <c r="H33" t="str">
        <f t="shared" si="1"/>
        <v/>
      </c>
      <c r="I33" t="str">
        <f t="shared" si="2"/>
        <v/>
      </c>
      <c r="J33" t="str">
        <f>IF($G33="","",'Cava Doors order'!G11)</f>
        <v/>
      </c>
      <c r="K33" t="str">
        <f>IF($G33="","",'Cava Doors order'!H11)</f>
        <v/>
      </c>
      <c r="L33" t="str">
        <f>IF($G33="","",'Cava Doors order'!I11)</f>
        <v/>
      </c>
      <c r="M33" t="str">
        <f>IF($G33="","",'Cava Doors order'!J11)</f>
        <v/>
      </c>
      <c r="N33" t="str">
        <f>IF(G33="","",'Cava Doors order'!$E$7)</f>
        <v/>
      </c>
      <c r="O33" t="str">
        <f>IF(G33="","",'Cava Doors order'!$A$7)</f>
        <v/>
      </c>
      <c r="P33" s="443" t="str">
        <f>IF(A33="","",MainOther!C33)</f>
        <v/>
      </c>
      <c r="Q33" t="str">
        <f>IF(A33="","",CONCATENATE('Cava Doors order'!C11," ","X"," ",'Cava Doors order'!D11))</f>
        <v/>
      </c>
      <c r="R33" s="418" t="str">
        <f>IF(Q33="","",CONCATENATE(MainOther!E33," ",MainOther!D33))</f>
        <v/>
      </c>
    </row>
    <row r="34" spans="1:18" x14ac:dyDescent="0.25">
      <c r="A34" s="460" t="str">
        <f>IF(F34="","","3")</f>
        <v/>
      </c>
      <c r="B34" t="str">
        <f>IF(I34="","",'Cava Doors order'!$K$2)</f>
        <v/>
      </c>
      <c r="C34" s="464" t="str">
        <f>IF(B34="","",'Cava Doors order'!D12)</f>
        <v/>
      </c>
      <c r="D34" s="468" t="str">
        <f>IF(B34="","",'Cava Doors order'!C12-6)</f>
        <v/>
      </c>
      <c r="E34" t="str">
        <f t="shared" si="3"/>
        <v/>
      </c>
      <c r="F34" t="str">
        <f>IF(G34="","",'Cava Doors order'!E12)</f>
        <v/>
      </c>
      <c r="G34" t="str">
        <f>IF(MainOther!E34="","",IF(MainOther!E34=BDD!$AM$124,MainOther!G34,""))</f>
        <v/>
      </c>
      <c r="H34" t="str">
        <f t="shared" si="1"/>
        <v/>
      </c>
      <c r="I34" t="str">
        <f t="shared" si="2"/>
        <v/>
      </c>
      <c r="J34" t="str">
        <f>IF($G34="","",'Cava Doors order'!G12)</f>
        <v/>
      </c>
      <c r="K34" t="str">
        <f>IF($G34="","",'Cava Doors order'!H12)</f>
        <v/>
      </c>
      <c r="L34" t="str">
        <f>IF($G34="","",'Cava Doors order'!I12)</f>
        <v/>
      </c>
      <c r="M34" t="str">
        <f>IF($G34="","",'Cava Doors order'!J12)</f>
        <v/>
      </c>
      <c r="N34" t="str">
        <f>IF(G34="","",'Cava Doors order'!$E$7)</f>
        <v/>
      </c>
      <c r="O34" t="str">
        <f>IF(G34="","",'Cava Doors order'!$A$7)</f>
        <v/>
      </c>
      <c r="P34" s="443" t="str">
        <f>IF(A34="","",MainOther!C34)</f>
        <v/>
      </c>
      <c r="Q34" t="str">
        <f>IF(A34="","",CONCATENATE('Cava Doors order'!C12," ","X"," ",'Cava Doors order'!D12))</f>
        <v/>
      </c>
      <c r="R34" s="418" t="str">
        <f>IF(Q34="","",CONCATENATE(MainOther!E34," ",MainOther!D34))</f>
        <v/>
      </c>
    </row>
    <row r="35" spans="1:18" x14ac:dyDescent="0.25">
      <c r="A35" s="460" t="str">
        <f>IF(F35="","","4")</f>
        <v/>
      </c>
      <c r="B35" t="str">
        <f>IF(I35="","",'Cava Doors order'!$K$2)</f>
        <v/>
      </c>
      <c r="C35" s="464" t="str">
        <f>IF(B35="","",'Cava Doors order'!D13)</f>
        <v/>
      </c>
      <c r="D35" s="468" t="str">
        <f>IF(B35="","",'Cava Doors order'!C13-6)</f>
        <v/>
      </c>
      <c r="E35" t="str">
        <f t="shared" si="3"/>
        <v/>
      </c>
      <c r="F35" t="str">
        <f>IF(G35="","",'Cava Doors order'!E13)</f>
        <v/>
      </c>
      <c r="G35" t="str">
        <f>IF(MainOther!E35="","",IF(MainOther!E35=BDD!$AM$124,MainOther!G35,""))</f>
        <v/>
      </c>
      <c r="H35" t="str">
        <f t="shared" si="1"/>
        <v/>
      </c>
      <c r="I35" t="str">
        <f t="shared" si="2"/>
        <v/>
      </c>
      <c r="J35" t="str">
        <f>IF($G35="","",'Cava Doors order'!G13)</f>
        <v/>
      </c>
      <c r="K35" t="str">
        <f>IF($G35="","",'Cava Doors order'!H13)</f>
        <v/>
      </c>
      <c r="L35" t="str">
        <f>IF($G35="","",'Cava Doors order'!I13)</f>
        <v/>
      </c>
      <c r="M35" t="str">
        <f>IF($G35="","",'Cava Doors order'!J13)</f>
        <v/>
      </c>
      <c r="N35" t="str">
        <f>IF(G35="","",'Cava Doors order'!$E$7)</f>
        <v/>
      </c>
      <c r="O35" t="str">
        <f>IF(G35="","",'Cava Doors order'!$A$7)</f>
        <v/>
      </c>
      <c r="P35" s="443" t="str">
        <f>IF(A35="","",MainOther!C35)</f>
        <v/>
      </c>
      <c r="Q35" t="str">
        <f>IF(A35="","",CONCATENATE('Cava Doors order'!C13," ","X"," ",'Cava Doors order'!D13))</f>
        <v/>
      </c>
      <c r="R35" s="418" t="str">
        <f>IF(Q35="","",CONCATENATE(MainOther!E35," ",MainOther!D35))</f>
        <v/>
      </c>
    </row>
    <row r="36" spans="1:18" x14ac:dyDescent="0.25">
      <c r="A36" s="460" t="str">
        <f>IF(F36="","","5")</f>
        <v/>
      </c>
      <c r="B36" t="str">
        <f>IF(I36="","",'Cava Doors order'!$K$2)</f>
        <v/>
      </c>
      <c r="C36" s="464" t="str">
        <f>IF(B36="","",'Cava Doors order'!D14)</f>
        <v/>
      </c>
      <c r="D36" s="468" t="str">
        <f>IF(B36="","",'Cava Doors order'!C14-6)</f>
        <v/>
      </c>
      <c r="E36" t="str">
        <f t="shared" si="3"/>
        <v/>
      </c>
      <c r="F36" t="str">
        <f>IF(G36="","",'Cava Doors order'!E14)</f>
        <v/>
      </c>
      <c r="G36" t="str">
        <f>IF(MainOther!E36="","",IF(MainOther!E36=BDD!$AM$124,MainOther!G36,""))</f>
        <v/>
      </c>
      <c r="H36" t="str">
        <f t="shared" si="1"/>
        <v/>
      </c>
      <c r="I36" t="str">
        <f t="shared" si="2"/>
        <v/>
      </c>
      <c r="J36" t="str">
        <f>IF($G36="","",'Cava Doors order'!G14)</f>
        <v/>
      </c>
      <c r="K36" t="str">
        <f>IF($G36="","",'Cava Doors order'!H14)</f>
        <v/>
      </c>
      <c r="L36" t="str">
        <f>IF($G36="","",'Cava Doors order'!I14)</f>
        <v/>
      </c>
      <c r="M36" t="str">
        <f>IF($G36="","",'Cava Doors order'!J14)</f>
        <v/>
      </c>
      <c r="N36" t="str">
        <f>IF(G36="","",'Cava Doors order'!$E$7)</f>
        <v/>
      </c>
      <c r="O36" t="str">
        <f>IF(G36="","",'Cava Doors order'!$A$7)</f>
        <v/>
      </c>
      <c r="P36" s="443" t="str">
        <f>IF(A36="","",MainOther!C36)</f>
        <v/>
      </c>
      <c r="Q36" t="str">
        <f>IF(A36="","",CONCATENATE('Cava Doors order'!C14," ","X"," ",'Cava Doors order'!D14))</f>
        <v/>
      </c>
      <c r="R36" s="418" t="str">
        <f>IF(Q36="","",CONCATENATE(MainOther!E36," ",MainOther!D36))</f>
        <v/>
      </c>
    </row>
    <row r="37" spans="1:18" x14ac:dyDescent="0.25">
      <c r="A37" s="460" t="str">
        <f>IF(F37="","","6")</f>
        <v/>
      </c>
      <c r="B37" t="str">
        <f>IF(I37="","",'Cava Doors order'!$K$2)</f>
        <v/>
      </c>
      <c r="C37" s="464" t="str">
        <f>IF(B37="","",'Cava Doors order'!D15)</f>
        <v/>
      </c>
      <c r="D37" s="468" t="str">
        <f>IF(B37="","",'Cava Doors order'!C15-6)</f>
        <v/>
      </c>
      <c r="E37" t="str">
        <f t="shared" si="3"/>
        <v/>
      </c>
      <c r="F37" t="str">
        <f>IF(G37="","",'Cava Doors order'!E15)</f>
        <v/>
      </c>
      <c r="G37" t="str">
        <f>IF(MainOther!E37="","",IF(MainOther!E37=BDD!$AM$124,MainOther!G37,""))</f>
        <v/>
      </c>
      <c r="H37" t="str">
        <f t="shared" si="1"/>
        <v/>
      </c>
      <c r="I37" t="str">
        <f t="shared" si="2"/>
        <v/>
      </c>
      <c r="J37" t="str">
        <f>IF($G37="","",'Cava Doors order'!G15)</f>
        <v/>
      </c>
      <c r="K37" t="str">
        <f>IF($G37="","",'Cava Doors order'!H15)</f>
        <v/>
      </c>
      <c r="L37" t="str">
        <f>IF($G37="","",'Cava Doors order'!I15)</f>
        <v/>
      </c>
      <c r="M37" t="str">
        <f>IF($G37="","",'Cava Doors order'!J15)</f>
        <v/>
      </c>
      <c r="N37" t="str">
        <f>IF(G37="","",'Cava Doors order'!$E$7)</f>
        <v/>
      </c>
      <c r="O37" t="str">
        <f>IF(G37="","",'Cava Doors order'!$A$7)</f>
        <v/>
      </c>
      <c r="P37" s="443" t="str">
        <f>IF(A37="","",MainOther!C37)</f>
        <v/>
      </c>
      <c r="Q37" t="str">
        <f>IF(A37="","",CONCATENATE('Cava Doors order'!C15," ","X"," ",'Cava Doors order'!D15))</f>
        <v/>
      </c>
      <c r="R37" s="418" t="str">
        <f>IF(Q37="","",CONCATENATE(MainOther!E37," ",MainOther!D37))</f>
        <v/>
      </c>
    </row>
    <row r="38" spans="1:18" x14ac:dyDescent="0.25">
      <c r="A38" s="460" t="str">
        <f>IF(F38="","","7")</f>
        <v/>
      </c>
      <c r="B38" t="str">
        <f>IF(I38="","",'Cava Doors order'!$K$2)</f>
        <v/>
      </c>
      <c r="C38" s="464" t="str">
        <f>IF(B38="","",'Cava Doors order'!D16)</f>
        <v/>
      </c>
      <c r="D38" s="468" t="str">
        <f>IF(B38="","",'Cava Doors order'!C16-6)</f>
        <v/>
      </c>
      <c r="E38" t="str">
        <f t="shared" si="3"/>
        <v/>
      </c>
      <c r="F38" t="str">
        <f>IF(G38="","",'Cava Doors order'!E16)</f>
        <v/>
      </c>
      <c r="G38" t="str">
        <f>IF(MainOther!E38="","",IF(MainOther!E38=BDD!$AM$124,MainOther!G38,""))</f>
        <v/>
      </c>
      <c r="H38" t="str">
        <f t="shared" si="1"/>
        <v/>
      </c>
      <c r="I38" t="str">
        <f t="shared" si="2"/>
        <v/>
      </c>
      <c r="J38" t="str">
        <f>IF($G38="","",'Cava Doors order'!G16)</f>
        <v/>
      </c>
      <c r="K38" t="str">
        <f>IF($G38="","",'Cava Doors order'!H16)</f>
        <v/>
      </c>
      <c r="L38" t="str">
        <f>IF($G38="","",'Cava Doors order'!I16)</f>
        <v/>
      </c>
      <c r="M38" t="str">
        <f>IF($G38="","",'Cava Doors order'!J16)</f>
        <v/>
      </c>
      <c r="N38" t="str">
        <f>IF(G38="","",'Cava Doors order'!$E$7)</f>
        <v/>
      </c>
      <c r="O38" t="str">
        <f>IF(G38="","",'Cava Doors order'!$A$7)</f>
        <v/>
      </c>
      <c r="P38" s="443" t="str">
        <f>IF(A38="","",MainOther!C38)</f>
        <v/>
      </c>
      <c r="Q38" t="str">
        <f>IF(A38="","",CONCATENATE('Cava Doors order'!C16," ","X"," ",'Cava Doors order'!D16))</f>
        <v/>
      </c>
      <c r="R38" s="418" t="str">
        <f>IF(Q38="","",CONCATENATE(MainOther!E38," ",MainOther!D38))</f>
        <v/>
      </c>
    </row>
    <row r="39" spans="1:18" x14ac:dyDescent="0.25">
      <c r="A39" s="460" t="str">
        <f>IF(F39="","","8")</f>
        <v/>
      </c>
      <c r="B39" t="str">
        <f>IF(I39="","",'Cava Doors order'!$K$2)</f>
        <v/>
      </c>
      <c r="C39" s="464" t="str">
        <f>IF(B39="","",'Cava Doors order'!D17)</f>
        <v/>
      </c>
      <c r="D39" s="468" t="str">
        <f>IF(B39="","",'Cava Doors order'!C17-6)</f>
        <v/>
      </c>
      <c r="E39" t="str">
        <f t="shared" si="3"/>
        <v/>
      </c>
      <c r="F39" t="str">
        <f>IF(G39="","",'Cava Doors order'!E17)</f>
        <v/>
      </c>
      <c r="G39" t="str">
        <f>IF(MainOther!E39="","",IF(MainOther!E39=BDD!$AM$124,MainOther!G39,""))</f>
        <v/>
      </c>
      <c r="H39" t="str">
        <f t="shared" si="1"/>
        <v/>
      </c>
      <c r="I39" t="str">
        <f t="shared" si="2"/>
        <v/>
      </c>
      <c r="J39" t="str">
        <f>IF($G39="","",'Cava Doors order'!G17)</f>
        <v/>
      </c>
      <c r="K39" t="str">
        <f>IF($G39="","",'Cava Doors order'!H17)</f>
        <v/>
      </c>
      <c r="L39" t="str">
        <f>IF($G39="","",'Cava Doors order'!I17)</f>
        <v/>
      </c>
      <c r="M39" t="str">
        <f>IF($G39="","",'Cava Doors order'!J17)</f>
        <v/>
      </c>
      <c r="N39" t="str">
        <f>IF(G39="","",'Cava Doors order'!$E$7)</f>
        <v/>
      </c>
      <c r="O39" t="str">
        <f>IF(G39="","",'Cava Doors order'!$A$7)</f>
        <v/>
      </c>
      <c r="P39" s="443" t="str">
        <f>IF(A39="","",MainOther!C39)</f>
        <v/>
      </c>
      <c r="Q39" t="str">
        <f>IF(A39="","",CONCATENATE('Cava Doors order'!C17," ","X"," ",'Cava Doors order'!D17))</f>
        <v/>
      </c>
      <c r="R39" s="418" t="str">
        <f>IF(Q39="","",CONCATENATE(MainOther!E39," ",MainOther!D39))</f>
        <v/>
      </c>
    </row>
    <row r="40" spans="1:18" x14ac:dyDescent="0.25">
      <c r="A40" s="460" t="str">
        <f>IF(F40="","","9")</f>
        <v/>
      </c>
      <c r="B40" t="str">
        <f>IF(I40="","",'Cava Doors order'!$K$2)</f>
        <v/>
      </c>
      <c r="C40" s="464" t="str">
        <f>IF(B40="","",'Cava Doors order'!D18)</f>
        <v/>
      </c>
      <c r="D40" s="468" t="str">
        <f>IF(B40="","",'Cava Doors order'!C18-6)</f>
        <v/>
      </c>
      <c r="E40" t="str">
        <f t="shared" si="3"/>
        <v/>
      </c>
      <c r="F40" t="str">
        <f>IF(G40="","",'Cava Doors order'!E18)</f>
        <v/>
      </c>
      <c r="G40" t="str">
        <f>IF(MainOther!E40="","",IF(MainOther!E40=BDD!$AM$124,MainOther!G40,""))</f>
        <v/>
      </c>
      <c r="H40" t="str">
        <f t="shared" si="1"/>
        <v/>
      </c>
      <c r="I40" t="str">
        <f t="shared" si="2"/>
        <v/>
      </c>
      <c r="J40" t="str">
        <f>IF($G40="","",'Cava Doors order'!G18)</f>
        <v/>
      </c>
      <c r="K40" t="str">
        <f>IF($G40="","",'Cava Doors order'!H18)</f>
        <v/>
      </c>
      <c r="L40" t="str">
        <f>IF($G40="","",'Cava Doors order'!I18)</f>
        <v/>
      </c>
      <c r="M40" t="str">
        <f>IF($G40="","",'Cava Doors order'!J18)</f>
        <v/>
      </c>
      <c r="N40" t="str">
        <f>IF(G40="","",'Cava Doors order'!$E$7)</f>
        <v/>
      </c>
      <c r="O40" t="str">
        <f>IF(G40="","",'Cava Doors order'!$A$7)</f>
        <v/>
      </c>
      <c r="P40" s="443" t="str">
        <f>IF(A40="","",MainOther!C40)</f>
        <v/>
      </c>
      <c r="Q40" t="str">
        <f>IF(A40="","",CONCATENATE('Cava Doors order'!C18," ","X"," ",'Cava Doors order'!D18))</f>
        <v/>
      </c>
      <c r="R40" s="418" t="str">
        <f>IF(Q40="","",CONCATENATE(MainOther!E40," ",MainOther!D40))</f>
        <v/>
      </c>
    </row>
    <row r="41" spans="1:18" x14ac:dyDescent="0.25">
      <c r="A41" s="460" t="str">
        <f>IF(F41="","","10")</f>
        <v/>
      </c>
      <c r="B41" t="str">
        <f>IF(I41="","",'Cava Doors order'!$K$2)</f>
        <v/>
      </c>
      <c r="C41" s="464" t="str">
        <f>IF(B41="","",'Cava Doors order'!D19)</f>
        <v/>
      </c>
      <c r="D41" s="468" t="str">
        <f>IF(B41="","",'Cava Doors order'!C19-6)</f>
        <v/>
      </c>
      <c r="E41" t="str">
        <f t="shared" si="3"/>
        <v/>
      </c>
      <c r="F41" t="str">
        <f>IF(G41="","",'Cava Doors order'!E19)</f>
        <v/>
      </c>
      <c r="G41" t="str">
        <f>IF(MainOther!E41="","",IF(MainOther!E41=BDD!$AM$124,MainOther!G41,""))</f>
        <v/>
      </c>
      <c r="H41" t="str">
        <f t="shared" si="1"/>
        <v/>
      </c>
      <c r="I41" t="str">
        <f t="shared" si="2"/>
        <v/>
      </c>
      <c r="J41" t="str">
        <f>IF($G41="","",'Cava Doors order'!G19)</f>
        <v/>
      </c>
      <c r="K41" t="str">
        <f>IF($G41="","",'Cava Doors order'!H19)</f>
        <v/>
      </c>
      <c r="L41" t="str">
        <f>IF($G41="","",'Cava Doors order'!I19)</f>
        <v/>
      </c>
      <c r="M41" t="str">
        <f>IF($G41="","",'Cava Doors order'!J19)</f>
        <v/>
      </c>
      <c r="N41" t="str">
        <f>IF(G41="","",'Cava Doors order'!$E$7)</f>
        <v/>
      </c>
      <c r="O41" t="str">
        <f>IF(G41="","",'Cava Doors order'!$A$7)</f>
        <v/>
      </c>
      <c r="P41" s="443" t="str">
        <f>IF(A41="","",MainOther!C41)</f>
        <v/>
      </c>
      <c r="Q41" t="str">
        <f>IF(A41="","",CONCATENATE('Cava Doors order'!C19," ","X"," ",'Cava Doors order'!D19))</f>
        <v/>
      </c>
      <c r="R41" s="418" t="str">
        <f>IF(Q41="","",CONCATENATE(MainOther!E41," ",MainOther!D41))</f>
        <v/>
      </c>
    </row>
    <row r="42" spans="1:18" x14ac:dyDescent="0.25">
      <c r="A42" s="460" t="str">
        <f>IF(F42="","","11")</f>
        <v/>
      </c>
      <c r="B42" t="str">
        <f>IF(I42="","",'Cava Doors order'!$K$2)</f>
        <v/>
      </c>
      <c r="C42" s="464" t="str">
        <f>IF(B42="","",'Cava Doors order'!D20)</f>
        <v/>
      </c>
      <c r="D42" s="468" t="str">
        <f>IF(B42="","",'Cava Doors order'!C20-6)</f>
        <v/>
      </c>
      <c r="E42" t="str">
        <f t="shared" si="3"/>
        <v/>
      </c>
      <c r="F42" t="str">
        <f>IF(G42="","",'Cava Doors order'!E20)</f>
        <v/>
      </c>
      <c r="G42" t="str">
        <f>IF(MainOther!E42="","",IF(MainOther!E42=BDD!$AM$124,MainOther!G42,""))</f>
        <v/>
      </c>
      <c r="H42" t="str">
        <f t="shared" si="1"/>
        <v/>
      </c>
      <c r="I42" t="str">
        <f t="shared" si="2"/>
        <v/>
      </c>
      <c r="J42" t="str">
        <f>IF($G42="","",'Cava Doors order'!G20)</f>
        <v/>
      </c>
      <c r="K42" t="str">
        <f>IF($G42="","",'Cava Doors order'!H20)</f>
        <v/>
      </c>
      <c r="L42" t="str">
        <f>IF($G42="","",'Cava Doors order'!I20)</f>
        <v/>
      </c>
      <c r="M42" t="str">
        <f>IF($G42="","",'Cava Doors order'!J20)</f>
        <v/>
      </c>
      <c r="N42" t="str">
        <f>IF(G42="","",'Cava Doors order'!$E$7)</f>
        <v/>
      </c>
      <c r="O42" t="str">
        <f>IF(G42="","",'Cava Doors order'!$A$7)</f>
        <v/>
      </c>
      <c r="P42" s="443" t="str">
        <f>IF(A42="","",MainOther!C42)</f>
        <v/>
      </c>
      <c r="Q42" t="str">
        <f>IF(A42="","",CONCATENATE('Cava Doors order'!C20," ","X"," ",'Cava Doors order'!D20))</f>
        <v/>
      </c>
      <c r="R42" s="418" t="str">
        <f>IF(Q42="","",CONCATENATE(MainOther!E42," ",MainOther!D42))</f>
        <v/>
      </c>
    </row>
    <row r="43" spans="1:18" x14ac:dyDescent="0.25">
      <c r="A43" s="460" t="str">
        <f>IF(F43="","","12")</f>
        <v/>
      </c>
      <c r="B43" t="str">
        <f>IF(I43="","",'Cava Doors order'!$K$2)</f>
        <v/>
      </c>
      <c r="C43" s="464" t="str">
        <f>IF(B43="","",'Cava Doors order'!D21)</f>
        <v/>
      </c>
      <c r="D43" s="468" t="str">
        <f>IF(B43="","",'Cava Doors order'!C21-6)</f>
        <v/>
      </c>
      <c r="E43" t="str">
        <f t="shared" si="3"/>
        <v/>
      </c>
      <c r="F43" t="str">
        <f>IF(G43="","",'Cava Doors order'!E21)</f>
        <v/>
      </c>
      <c r="G43" t="str">
        <f>IF(MainOther!E43="","",IF(MainOther!E43=BDD!$AM$124,MainOther!G43,""))</f>
        <v/>
      </c>
      <c r="H43" t="str">
        <f t="shared" si="1"/>
        <v/>
      </c>
      <c r="I43" t="str">
        <f t="shared" si="2"/>
        <v/>
      </c>
      <c r="J43" t="str">
        <f>IF($G43="","",'Cava Doors order'!G21)</f>
        <v/>
      </c>
      <c r="K43" t="str">
        <f>IF($G43="","",'Cava Doors order'!H21)</f>
        <v/>
      </c>
      <c r="L43" t="str">
        <f>IF($G43="","",'Cava Doors order'!I21)</f>
        <v/>
      </c>
      <c r="M43" t="str">
        <f>IF($G43="","",'Cava Doors order'!J21)</f>
        <v/>
      </c>
      <c r="N43" t="str">
        <f>IF(G43="","",'Cava Doors order'!$E$7)</f>
        <v/>
      </c>
      <c r="O43" t="str">
        <f>IF(G43="","",'Cava Doors order'!$A$7)</f>
        <v/>
      </c>
      <c r="P43" s="443" t="str">
        <f>IF(A43="","",MainOther!C43)</f>
        <v/>
      </c>
      <c r="Q43" t="str">
        <f>IF(A43="","",CONCATENATE('Cava Doors order'!C21," ","X"," ",'Cava Doors order'!D21))</f>
        <v/>
      </c>
      <c r="R43" s="418" t="str">
        <f>IF(Q43="","",CONCATENATE(MainOther!E43," ",MainOther!D43))</f>
        <v/>
      </c>
    </row>
    <row r="44" spans="1:18" x14ac:dyDescent="0.25">
      <c r="A44" s="460" t="str">
        <f>IF(F44="","","13")</f>
        <v/>
      </c>
      <c r="B44" t="str">
        <f>IF(I44="","",'Cava Doors order'!$K$2)</f>
        <v/>
      </c>
      <c r="C44" s="464" t="str">
        <f>IF(B44="","",'Cava Doors order'!D22)</f>
        <v/>
      </c>
      <c r="D44" s="468" t="str">
        <f>IF(B44="","",'Cava Doors order'!C22-6)</f>
        <v/>
      </c>
      <c r="E44" t="str">
        <f t="shared" si="3"/>
        <v/>
      </c>
      <c r="F44" t="str">
        <f>IF(G44="","",'Cava Doors order'!E22)</f>
        <v/>
      </c>
      <c r="G44" t="str">
        <f>IF(MainOther!E44="","",IF(MainOther!E44=BDD!$AM$124,MainOther!G44,""))</f>
        <v/>
      </c>
      <c r="H44" t="str">
        <f t="shared" si="1"/>
        <v/>
      </c>
      <c r="I44" t="str">
        <f t="shared" si="2"/>
        <v/>
      </c>
      <c r="J44" t="str">
        <f>IF($G44="","",'Cava Doors order'!G22)</f>
        <v/>
      </c>
      <c r="K44" t="str">
        <f>IF($G44="","",'Cava Doors order'!H22)</f>
        <v/>
      </c>
      <c r="L44" t="str">
        <f>IF($G44="","",'Cava Doors order'!I22)</f>
        <v/>
      </c>
      <c r="M44" t="str">
        <f>IF($G44="","",'Cava Doors order'!J22)</f>
        <v/>
      </c>
      <c r="N44" t="str">
        <f>IF(G44="","",'Cava Doors order'!$E$7)</f>
        <v/>
      </c>
      <c r="O44" t="str">
        <f>IF(G44="","",'Cava Doors order'!$A$7)</f>
        <v/>
      </c>
      <c r="P44" s="443" t="str">
        <f>IF(A44="","",MainOther!C44)</f>
        <v/>
      </c>
      <c r="Q44" t="str">
        <f>IF(A44="","",CONCATENATE('Cava Doors order'!C22," ","X"," ",'Cava Doors order'!D22))</f>
        <v/>
      </c>
      <c r="R44" s="418" t="str">
        <f>IF(Q44="","",CONCATENATE(MainOther!E44," ",MainOther!D44))</f>
        <v/>
      </c>
    </row>
    <row r="45" spans="1:18" x14ac:dyDescent="0.25">
      <c r="A45" s="460" t="str">
        <f>IF(F45="","","14")</f>
        <v/>
      </c>
      <c r="B45" t="str">
        <f>IF(I45="","",'Cava Doors order'!$K$2)</f>
        <v/>
      </c>
      <c r="C45" s="464" t="str">
        <f>IF(B45="","",'Cava Doors order'!D23)</f>
        <v/>
      </c>
      <c r="D45" s="468" t="str">
        <f>IF(B45="","",'Cava Doors order'!C23-6)</f>
        <v/>
      </c>
      <c r="E45" t="str">
        <f t="shared" si="3"/>
        <v/>
      </c>
      <c r="F45" t="str">
        <f>IF(G45="","",'Cava Doors order'!E23)</f>
        <v/>
      </c>
      <c r="G45" t="str">
        <f>IF(MainOther!E45="","",IF(MainOther!E45=BDD!$AM$124,MainOther!G45,""))</f>
        <v/>
      </c>
      <c r="H45" t="str">
        <f t="shared" si="1"/>
        <v/>
      </c>
      <c r="I45" t="str">
        <f t="shared" si="2"/>
        <v/>
      </c>
      <c r="J45" t="str">
        <f>IF($G45="","",'Cava Doors order'!G23)</f>
        <v/>
      </c>
      <c r="K45" t="str">
        <f>IF($G45="","",'Cava Doors order'!H23)</f>
        <v/>
      </c>
      <c r="L45" t="str">
        <f>IF($G45="","",'Cava Doors order'!I23)</f>
        <v/>
      </c>
      <c r="M45" t="str">
        <f>IF($G45="","",'Cava Doors order'!J23)</f>
        <v/>
      </c>
      <c r="N45" t="str">
        <f>IF(G45="","",'Cava Doors order'!$E$7)</f>
        <v/>
      </c>
      <c r="O45" t="str">
        <f>IF(G45="","",'Cava Doors order'!$A$7)</f>
        <v/>
      </c>
      <c r="P45" s="443" t="str">
        <f>IF(A45="","",MainOther!C45)</f>
        <v/>
      </c>
      <c r="Q45" t="str">
        <f>IF(A45="","",CONCATENATE('Cava Doors order'!C23," ","X"," ",'Cava Doors order'!D23))</f>
        <v/>
      </c>
      <c r="R45" s="418" t="str">
        <f>IF(Q45="","",CONCATENATE(MainOther!E45," ",MainOther!D45))</f>
        <v/>
      </c>
    </row>
    <row r="46" spans="1:18" x14ac:dyDescent="0.25">
      <c r="A46" s="460" t="str">
        <f>IF(F46="","","15")</f>
        <v/>
      </c>
      <c r="B46" t="str">
        <f>IF(I46="","",'Cava Doors order'!$K$2)</f>
        <v/>
      </c>
      <c r="C46" s="464" t="str">
        <f>IF(B46="","",'Cava Doors order'!D24)</f>
        <v/>
      </c>
      <c r="D46" s="468" t="str">
        <f>IF(B46="","",'Cava Doors order'!C24-6)</f>
        <v/>
      </c>
      <c r="E46" t="str">
        <f t="shared" si="3"/>
        <v/>
      </c>
      <c r="F46" t="str">
        <f>IF(G46="","",'Cava Doors order'!E24)</f>
        <v/>
      </c>
      <c r="G46" t="str">
        <f>IF(MainOther!E46="","",IF(MainOther!E46=BDD!$AM$124,MainOther!G46,""))</f>
        <v/>
      </c>
      <c r="H46" t="str">
        <f t="shared" si="1"/>
        <v/>
      </c>
      <c r="I46" t="str">
        <f t="shared" si="2"/>
        <v/>
      </c>
      <c r="J46" t="str">
        <f>IF($G46="","",'Cava Doors order'!G24)</f>
        <v/>
      </c>
      <c r="K46" t="str">
        <f>IF($G46="","",'Cava Doors order'!H24)</f>
        <v/>
      </c>
      <c r="L46" t="str">
        <f>IF($G46="","",'Cava Doors order'!I24)</f>
        <v/>
      </c>
      <c r="M46" t="str">
        <f>IF($G46="","",'Cava Doors order'!J24)</f>
        <v/>
      </c>
      <c r="N46" t="str">
        <f>IF(G46="","",'Cava Doors order'!$E$7)</f>
        <v/>
      </c>
      <c r="O46" t="str">
        <f>IF(G46="","",'Cava Doors order'!$A$7)</f>
        <v/>
      </c>
      <c r="P46" s="443" t="str">
        <f>IF(A46="","",MainOther!C46)</f>
        <v/>
      </c>
      <c r="Q46" t="str">
        <f>IF(A46="","",CONCATENATE('Cava Doors order'!C24," ","X"," ",'Cava Doors order'!D24))</f>
        <v/>
      </c>
      <c r="R46" s="418" t="str">
        <f>IF(Q46="","",CONCATENATE(MainOther!E46," ",MainOther!D46))</f>
        <v/>
      </c>
    </row>
    <row r="47" spans="1:18" x14ac:dyDescent="0.25">
      <c r="A47" s="460" t="str">
        <f>IF(F47="","","16")</f>
        <v/>
      </c>
      <c r="B47" t="str">
        <f>IF(I47="","",'Cava Doors order'!$K$2)</f>
        <v/>
      </c>
      <c r="C47" s="464" t="str">
        <f>IF(B47="","",'Cava Doors order'!D25)</f>
        <v/>
      </c>
      <c r="D47" s="468" t="str">
        <f>IF(B47="","",'Cava Doors order'!C25-6)</f>
        <v/>
      </c>
      <c r="E47" t="str">
        <f t="shared" si="3"/>
        <v/>
      </c>
      <c r="F47" t="str">
        <f>IF(G47="","",'Cava Doors order'!E25)</f>
        <v/>
      </c>
      <c r="G47" t="str">
        <f>IF(MainOther!E47="","",IF(MainOther!E47=BDD!$AM$124,MainOther!G47,""))</f>
        <v/>
      </c>
      <c r="H47" t="str">
        <f t="shared" si="1"/>
        <v/>
      </c>
      <c r="I47" t="str">
        <f t="shared" si="2"/>
        <v/>
      </c>
      <c r="J47" t="str">
        <f>IF($G47="","",'Cava Doors order'!G25)</f>
        <v/>
      </c>
      <c r="K47" t="str">
        <f>IF($G47="","",'Cava Doors order'!H25)</f>
        <v/>
      </c>
      <c r="L47" t="str">
        <f>IF($G47="","",'Cava Doors order'!I25)</f>
        <v/>
      </c>
      <c r="M47" t="str">
        <f>IF($G47="","",'Cava Doors order'!J25)</f>
        <v/>
      </c>
      <c r="N47" t="str">
        <f>IF(G47="","",'Cava Doors order'!$E$7)</f>
        <v/>
      </c>
      <c r="O47" t="str">
        <f>IF(G47="","",'Cava Doors order'!$A$7)</f>
        <v/>
      </c>
      <c r="P47" s="443" t="str">
        <f>IF(A47="","",MainOther!C47)</f>
        <v/>
      </c>
      <c r="Q47" t="str">
        <f>IF(A47="","",CONCATENATE('Cava Doors order'!C25," ","X"," ",'Cava Doors order'!D25))</f>
        <v/>
      </c>
      <c r="R47" s="418" t="str">
        <f>IF(Q47="","",CONCATENATE(MainOther!E47," ",MainOther!D47))</f>
        <v/>
      </c>
    </row>
    <row r="48" spans="1:18" x14ac:dyDescent="0.25">
      <c r="A48" s="460" t="str">
        <f>IF(F48="","","17")</f>
        <v/>
      </c>
      <c r="B48" t="str">
        <f>IF(I48="","",'Cava Doors order'!$K$2)</f>
        <v/>
      </c>
      <c r="C48" s="464" t="str">
        <f>IF(B48="","",'Cava Doors order'!D26)</f>
        <v/>
      </c>
      <c r="D48" s="468" t="str">
        <f>IF(B48="","",'Cava Doors order'!C26-6)</f>
        <v/>
      </c>
      <c r="E48" t="str">
        <f t="shared" si="3"/>
        <v/>
      </c>
      <c r="F48" t="str">
        <f>IF(G48="","",'Cava Doors order'!E26)</f>
        <v/>
      </c>
      <c r="G48" t="str">
        <f>IF(MainOther!E48="","",IF(MainOther!E48=BDD!$AM$124,MainOther!G48,""))</f>
        <v/>
      </c>
      <c r="H48" t="str">
        <f t="shared" si="1"/>
        <v/>
      </c>
      <c r="I48" t="str">
        <f t="shared" si="2"/>
        <v/>
      </c>
      <c r="J48" t="str">
        <f>IF($G48="","",'Cava Doors order'!G26)</f>
        <v/>
      </c>
      <c r="K48" t="str">
        <f>IF($G48="","",'Cava Doors order'!H26)</f>
        <v/>
      </c>
      <c r="L48" t="str">
        <f>IF($G48="","",'Cava Doors order'!I26)</f>
        <v/>
      </c>
      <c r="M48" t="str">
        <f>IF($G48="","",'Cava Doors order'!J26)</f>
        <v/>
      </c>
      <c r="N48" t="str">
        <f>IF(G48="","",'Cava Doors order'!$E$7)</f>
        <v/>
      </c>
      <c r="O48" t="str">
        <f>IF(G48="","",'Cava Doors order'!$A$7)</f>
        <v/>
      </c>
      <c r="P48" s="443" t="str">
        <f>IF(A48="","",MainOther!C48)</f>
        <v/>
      </c>
      <c r="Q48" t="str">
        <f>IF(A48="","",CONCATENATE('Cava Doors order'!C26," ","X"," ",'Cava Doors order'!D26))</f>
        <v/>
      </c>
      <c r="R48" s="418" t="str">
        <f>IF(Q48="","",CONCATENATE(MainOther!E48," ",MainOther!D48))</f>
        <v/>
      </c>
    </row>
    <row r="49" spans="1:18" x14ac:dyDescent="0.25">
      <c r="A49" s="460" t="str">
        <f>IF(F49="","","18")</f>
        <v/>
      </c>
      <c r="B49" t="str">
        <f>IF(I49="","",'Cava Doors order'!$K$2)</f>
        <v/>
      </c>
      <c r="C49" s="464" t="str">
        <f>IF(B49="","",'Cava Doors order'!D27)</f>
        <v/>
      </c>
      <c r="D49" s="468" t="str">
        <f>IF(B49="","",'Cava Doors order'!C27-6)</f>
        <v/>
      </c>
      <c r="E49" t="str">
        <f t="shared" si="3"/>
        <v/>
      </c>
      <c r="F49" t="str">
        <f>IF(G49="","",'Cava Doors order'!E27)</f>
        <v/>
      </c>
      <c r="G49" t="str">
        <f>IF(MainOther!E49="","",IF(MainOther!E49=BDD!$AM$124,MainOther!G49,""))</f>
        <v/>
      </c>
      <c r="H49" t="str">
        <f t="shared" si="1"/>
        <v/>
      </c>
      <c r="I49" t="str">
        <f t="shared" si="2"/>
        <v/>
      </c>
      <c r="J49" t="str">
        <f>IF($G49="","",'Cava Doors order'!G27)</f>
        <v/>
      </c>
      <c r="K49" t="str">
        <f>IF($G49="","",'Cava Doors order'!H27)</f>
        <v/>
      </c>
      <c r="L49" t="str">
        <f>IF($G49="","",'Cava Doors order'!I27)</f>
        <v/>
      </c>
      <c r="M49" t="str">
        <f>IF($G49="","",'Cava Doors order'!J27)</f>
        <v/>
      </c>
      <c r="N49" t="str">
        <f>IF(G49="","",'Cava Doors order'!$E$7)</f>
        <v/>
      </c>
      <c r="O49" t="str">
        <f>IF(G49="","",'Cava Doors order'!$A$7)</f>
        <v/>
      </c>
      <c r="P49" s="443" t="str">
        <f>IF(A49="","",MainOther!C49)</f>
        <v/>
      </c>
      <c r="Q49" t="str">
        <f>IF(A49="","",CONCATENATE('Cava Doors order'!C27," ","X"," ",'Cava Doors order'!D27))</f>
        <v/>
      </c>
      <c r="R49" s="418" t="str">
        <f>IF(Q49="","",CONCATENATE(MainOther!E49," ",MainOther!D49))</f>
        <v/>
      </c>
    </row>
    <row r="50" spans="1:18" x14ac:dyDescent="0.25">
      <c r="A50" s="460" t="str">
        <f>IF(F50="","","19")</f>
        <v/>
      </c>
      <c r="B50" t="str">
        <f>IF(I50="","",'Cava Doors order'!$K$2)</f>
        <v/>
      </c>
      <c r="C50" s="464" t="str">
        <f>IF(B50="","",'Cava Doors order'!D28)</f>
        <v/>
      </c>
      <c r="D50" s="468" t="str">
        <f>IF(B50="","",'Cava Doors order'!C28-6)</f>
        <v/>
      </c>
      <c r="E50" t="str">
        <f t="shared" si="3"/>
        <v/>
      </c>
      <c r="F50" t="str">
        <f>IF(G50="","",'Cava Doors order'!E28)</f>
        <v/>
      </c>
      <c r="G50" t="str">
        <f>IF(MainOther!E50="","",IF(MainOther!E50=BDD!$AM$124,MainOther!G50,""))</f>
        <v/>
      </c>
      <c r="H50" t="str">
        <f t="shared" si="1"/>
        <v/>
      </c>
      <c r="I50" t="str">
        <f t="shared" si="2"/>
        <v/>
      </c>
      <c r="J50" t="str">
        <f>IF($G50="","",'Cava Doors order'!G28)</f>
        <v/>
      </c>
      <c r="K50" t="str">
        <f>IF($G50="","",'Cava Doors order'!H28)</f>
        <v/>
      </c>
      <c r="L50" t="str">
        <f>IF($G50="","",'Cava Doors order'!I28)</f>
        <v/>
      </c>
      <c r="M50" t="str">
        <f>IF($G50="","",'Cava Doors order'!J28)</f>
        <v/>
      </c>
      <c r="N50" t="str">
        <f>IF(G50="","",'Cava Doors order'!$E$7)</f>
        <v/>
      </c>
      <c r="O50" t="str">
        <f>IF(G50="","",'Cava Doors order'!$A$7)</f>
        <v/>
      </c>
      <c r="P50" s="443" t="str">
        <f>IF(A50="","",MainOther!C50)</f>
        <v/>
      </c>
      <c r="Q50" t="str">
        <f>IF(A50="","",CONCATENATE('Cava Doors order'!C28," ","X"," ",'Cava Doors order'!D28))</f>
        <v/>
      </c>
      <c r="R50" s="418" t="str">
        <f>IF(Q50="","",CONCATENATE(MainOther!E50," ",MainOther!D50))</f>
        <v/>
      </c>
    </row>
    <row r="51" spans="1:18" x14ac:dyDescent="0.25">
      <c r="A51" s="460" t="str">
        <f>IF(F51="","","20")</f>
        <v/>
      </c>
      <c r="B51" t="str">
        <f>IF(I51="","",'Cava Doors order'!$K$2)</f>
        <v/>
      </c>
      <c r="C51" s="464" t="str">
        <f>IF(B51="","",'Cava Doors order'!D29)</f>
        <v/>
      </c>
      <c r="D51" s="468" t="str">
        <f>IF(B51="","",'Cava Doors order'!C29-6)</f>
        <v/>
      </c>
      <c r="E51" t="str">
        <f t="shared" si="3"/>
        <v/>
      </c>
      <c r="F51" t="str">
        <f>IF(G51="","",'Cava Doors order'!E29)</f>
        <v/>
      </c>
      <c r="G51" t="str">
        <f>IF(MainOther!E51="","",IF(MainOther!E51=BDD!$AM$124,MainOther!G51,""))</f>
        <v/>
      </c>
      <c r="H51" t="str">
        <f t="shared" si="1"/>
        <v/>
      </c>
      <c r="I51" t="str">
        <f t="shared" si="2"/>
        <v/>
      </c>
      <c r="J51" t="str">
        <f>IF($G51="","",'Cava Doors order'!G29)</f>
        <v/>
      </c>
      <c r="K51" t="str">
        <f>IF($G51="","",'Cava Doors order'!H29)</f>
        <v/>
      </c>
      <c r="L51" t="str">
        <f>IF($G51="","",'Cava Doors order'!I29)</f>
        <v/>
      </c>
      <c r="M51" t="str">
        <f>IF($G51="","",'Cava Doors order'!J29)</f>
        <v/>
      </c>
      <c r="N51" t="str">
        <f>IF(G51="","",'Cava Doors order'!$E$7)</f>
        <v/>
      </c>
      <c r="O51" t="str">
        <f>IF(G51="","",'Cava Doors order'!$A$7)</f>
        <v/>
      </c>
      <c r="P51" s="443" t="str">
        <f>IF(A51="","",MainOther!C51)</f>
        <v/>
      </c>
      <c r="Q51" t="str">
        <f>IF(A51="","",CONCATENATE('Cava Doors order'!C29," ","X"," ",'Cava Doors order'!D29))</f>
        <v/>
      </c>
      <c r="R51" s="418" t="str">
        <f>IF(Q51="","",CONCATENATE(MainOther!E51," ",MainOther!D51))</f>
        <v/>
      </c>
    </row>
    <row r="52" spans="1:18" x14ac:dyDescent="0.25">
      <c r="A52" s="460" t="str">
        <f>IF(F52="","","21")</f>
        <v/>
      </c>
      <c r="B52" t="str">
        <f>IF(I52="","",'Cava Doors order'!$K$2)</f>
        <v/>
      </c>
      <c r="C52" s="464" t="str">
        <f>IF(B52="","",'Cava Doors order'!D30)</f>
        <v/>
      </c>
      <c r="D52" s="468" t="str">
        <f>IF(B52="","",'Cava Doors order'!C30-6)</f>
        <v/>
      </c>
      <c r="E52" t="str">
        <f t="shared" si="3"/>
        <v/>
      </c>
      <c r="F52" t="str">
        <f>IF(G52="","",'Cava Doors order'!E30)</f>
        <v/>
      </c>
      <c r="G52" t="str">
        <f>IF(MainOther!E52="","",IF(MainOther!E52=BDD!$AM$124,MainOther!G52,""))</f>
        <v/>
      </c>
      <c r="H52" t="str">
        <f t="shared" si="1"/>
        <v/>
      </c>
      <c r="I52" t="str">
        <f t="shared" si="2"/>
        <v/>
      </c>
      <c r="J52" t="str">
        <f>IF($G52="","",'Cava Doors order'!G30)</f>
        <v/>
      </c>
      <c r="K52" t="str">
        <f>IF($G52="","",'Cava Doors order'!H30)</f>
        <v/>
      </c>
      <c r="L52" t="str">
        <f>IF($G52="","",'Cava Doors order'!I30)</f>
        <v/>
      </c>
      <c r="M52" t="str">
        <f>IF($G52="","",'Cava Doors order'!J30)</f>
        <v/>
      </c>
      <c r="N52" t="str">
        <f>IF(G52="","",'Cava Doors order'!$E$7)</f>
        <v/>
      </c>
      <c r="O52" t="str">
        <f>IF(G52="","",'Cava Doors order'!$A$7)</f>
        <v/>
      </c>
      <c r="P52" s="443" t="str">
        <f>IF(A52="","",MainOther!C52)</f>
        <v/>
      </c>
      <c r="Q52" t="str">
        <f>IF(A52="","",CONCATENATE('Cava Doors order'!C30," ","X"," ",'Cava Doors order'!D30))</f>
        <v/>
      </c>
      <c r="R52" s="418" t="str">
        <f>IF(Q52="","",CONCATENATE(MainOther!E52," ",MainOther!D52))</f>
        <v/>
      </c>
    </row>
    <row r="53" spans="1:18" x14ac:dyDescent="0.25">
      <c r="A53" s="460" t="str">
        <f>IF(F53="","","22")</f>
        <v/>
      </c>
      <c r="B53" t="str">
        <f>IF(I53="","",'Cava Doors order'!$K$2)</f>
        <v/>
      </c>
      <c r="C53" s="464" t="str">
        <f>IF(B53="","",'Cava Doors order'!D31)</f>
        <v/>
      </c>
      <c r="D53" s="468" t="str">
        <f>IF(B53="","",'Cava Doors order'!C31-6)</f>
        <v/>
      </c>
      <c r="E53" t="str">
        <f t="shared" si="3"/>
        <v/>
      </c>
      <c r="F53" t="str">
        <f>IF(G53="","",'Cava Doors order'!E31)</f>
        <v/>
      </c>
      <c r="G53" t="str">
        <f>IF(MainOther!E53="","",IF(MainOther!E53=BDD!$AM$124,MainOther!G53,""))</f>
        <v/>
      </c>
      <c r="H53" t="str">
        <f t="shared" si="1"/>
        <v/>
      </c>
      <c r="I53" t="str">
        <f t="shared" si="2"/>
        <v/>
      </c>
      <c r="J53" t="str">
        <f>IF($G53="","",'Cava Doors order'!G31)</f>
        <v/>
      </c>
      <c r="K53" t="str">
        <f>IF($G53="","",'Cava Doors order'!H31)</f>
        <v/>
      </c>
      <c r="L53" t="str">
        <f>IF($G53="","",'Cava Doors order'!I31)</f>
        <v/>
      </c>
      <c r="M53" t="str">
        <f>IF($G53="","",'Cava Doors order'!J31)</f>
        <v/>
      </c>
      <c r="N53" t="str">
        <f>IF(G53="","",'Cava Doors order'!$E$7)</f>
        <v/>
      </c>
      <c r="O53" t="str">
        <f>IF(G53="","",'Cava Doors order'!$A$7)</f>
        <v/>
      </c>
      <c r="P53" s="443" t="str">
        <f>IF(A53="","",MainOther!C53)</f>
        <v/>
      </c>
      <c r="Q53" t="str">
        <f>IF(A53="","",CONCATENATE('Cava Doors order'!C31," ","X"," ",'Cava Doors order'!D31))</f>
        <v/>
      </c>
      <c r="R53" s="418" t="str">
        <f>IF(Q53="","",CONCATENATE(MainOther!E53," ",MainOther!D53))</f>
        <v/>
      </c>
    </row>
    <row r="54" spans="1:18" x14ac:dyDescent="0.25">
      <c r="A54" s="460" t="str">
        <f>IF(F54="","","23")</f>
        <v/>
      </c>
      <c r="B54" t="str">
        <f>IF(I54="","",'Cava Doors order'!$K$2)</f>
        <v/>
      </c>
      <c r="C54" s="464" t="str">
        <f>IF(B54="","",'Cava Doors order'!D32)</f>
        <v/>
      </c>
      <c r="D54" s="468" t="str">
        <f>IF(B54="","",'Cava Doors order'!C32-6)</f>
        <v/>
      </c>
      <c r="E54" t="str">
        <f t="shared" si="3"/>
        <v/>
      </c>
      <c r="F54" t="str">
        <f>IF(G54="","",'Cava Doors order'!E32)</f>
        <v/>
      </c>
      <c r="G54" t="str">
        <f>IF(MainOther!E54="","",IF(MainOther!E54=BDD!$AM$124,MainOther!G54,""))</f>
        <v/>
      </c>
      <c r="H54" t="str">
        <f t="shared" si="1"/>
        <v/>
      </c>
      <c r="I54" t="str">
        <f t="shared" si="2"/>
        <v/>
      </c>
      <c r="J54" t="str">
        <f>IF($G54="","",'Cava Doors order'!G32)</f>
        <v/>
      </c>
      <c r="K54" t="str">
        <f>IF($G54="","",'Cava Doors order'!H32)</f>
        <v/>
      </c>
      <c r="L54" t="str">
        <f>IF($G54="","",'Cava Doors order'!I32)</f>
        <v/>
      </c>
      <c r="M54" t="str">
        <f>IF($G54="","",'Cava Doors order'!J32)</f>
        <v/>
      </c>
      <c r="N54" t="str">
        <f>IF(G54="","",'Cava Doors order'!$E$7)</f>
        <v/>
      </c>
      <c r="O54" t="str">
        <f>IF(G54="","",'Cava Doors order'!$A$7)</f>
        <v/>
      </c>
      <c r="P54" s="443" t="str">
        <f>IF(A54="","",MainOther!C54)</f>
        <v/>
      </c>
      <c r="Q54" t="str">
        <f>IF(A54="","",CONCATENATE('Cava Doors order'!C32," ","X"," ",'Cava Doors order'!D32))</f>
        <v/>
      </c>
      <c r="R54" s="418" t="str">
        <f>IF(Q54="","",CONCATENATE(MainOther!E54," ",MainOther!D54))</f>
        <v/>
      </c>
    </row>
    <row r="55" spans="1:18" x14ac:dyDescent="0.25">
      <c r="A55" s="460" t="str">
        <f>IF(F55="","","24")</f>
        <v/>
      </c>
      <c r="B55" t="str">
        <f>IF(I55="","",'Cava Doors order'!$K$2)</f>
        <v/>
      </c>
      <c r="C55" s="464" t="str">
        <f>IF(B55="","",'Cava Doors order'!D33)</f>
        <v/>
      </c>
      <c r="D55" s="468" t="str">
        <f>IF(B55="","",'Cava Doors order'!C33-6)</f>
        <v/>
      </c>
      <c r="E55" t="str">
        <f t="shared" si="3"/>
        <v/>
      </c>
      <c r="F55" t="str">
        <f>IF(G55="","",'Cava Doors order'!E33)</f>
        <v/>
      </c>
      <c r="G55" t="str">
        <f>IF(MainOther!E55="","",IF(MainOther!E55=BDD!$AM$124,MainOther!G55,""))</f>
        <v/>
      </c>
      <c r="H55" t="str">
        <f t="shared" si="1"/>
        <v/>
      </c>
      <c r="I55" t="str">
        <f t="shared" si="2"/>
        <v/>
      </c>
      <c r="J55" t="str">
        <f>IF($G55="","",'Cava Doors order'!G33)</f>
        <v/>
      </c>
      <c r="K55" t="str">
        <f>IF($G55="","",'Cava Doors order'!H33)</f>
        <v/>
      </c>
      <c r="L55" t="str">
        <f>IF($G55="","",'Cava Doors order'!I33)</f>
        <v/>
      </c>
      <c r="M55" t="str">
        <f>IF($G55="","",'Cava Doors order'!J33)</f>
        <v/>
      </c>
      <c r="N55" t="str">
        <f>IF(G55="","",'Cava Doors order'!$E$7)</f>
        <v/>
      </c>
      <c r="O55" t="str">
        <f>IF(G55="","",'Cava Doors order'!$A$7)</f>
        <v/>
      </c>
      <c r="P55" s="443" t="str">
        <f>IF(A55="","",MainOther!C55)</f>
        <v/>
      </c>
      <c r="Q55" t="str">
        <f>IF(A55="","",CONCATENATE('Cava Doors order'!C33," ","X"," ",'Cava Doors order'!D33))</f>
        <v/>
      </c>
      <c r="R55" s="418" t="str">
        <f>IF(Q55="","",CONCATENATE(MainOther!E55," ",MainOther!D55))</f>
        <v/>
      </c>
    </row>
    <row r="56" spans="1:18" x14ac:dyDescent="0.25">
      <c r="A56" s="460" t="str">
        <f>IF(F56="","","25")</f>
        <v/>
      </c>
      <c r="B56" t="str">
        <f>IF(I56="","",'Cava Doors order'!$K$2)</f>
        <v/>
      </c>
      <c r="C56" s="464" t="str">
        <f>IF(B56="","",'Cava Doors order'!D34)</f>
        <v/>
      </c>
      <c r="D56" s="468" t="str">
        <f>IF(B56="","",'Cava Doors order'!C34-6)</f>
        <v/>
      </c>
      <c r="E56" t="str">
        <f t="shared" si="3"/>
        <v/>
      </c>
      <c r="F56" t="str">
        <f>IF(G56="","",'Cava Doors order'!E34)</f>
        <v/>
      </c>
      <c r="G56" t="str">
        <f>IF(MainOther!E56="","",IF(MainOther!E56=BDD!$AM$124,MainOther!G56,""))</f>
        <v/>
      </c>
      <c r="H56" t="str">
        <f t="shared" si="1"/>
        <v/>
      </c>
      <c r="I56" t="str">
        <f t="shared" si="2"/>
        <v/>
      </c>
      <c r="J56" t="str">
        <f>IF($G56="","",'Cava Doors order'!G34)</f>
        <v/>
      </c>
      <c r="K56" t="str">
        <f>IF($G56="","",'Cava Doors order'!H34)</f>
        <v/>
      </c>
      <c r="L56" t="str">
        <f>IF($G56="","",'Cava Doors order'!I34)</f>
        <v/>
      </c>
      <c r="M56" t="str">
        <f>IF($G56="","",'Cava Doors order'!J34)</f>
        <v/>
      </c>
      <c r="N56" t="str">
        <f>IF(G56="","",'Cava Doors order'!$E$7)</f>
        <v/>
      </c>
      <c r="O56" t="str">
        <f>IF(G56="","",'Cava Doors order'!$A$7)</f>
        <v/>
      </c>
      <c r="P56" s="443" t="str">
        <f>IF(A56="","",MainOther!C56)</f>
        <v/>
      </c>
      <c r="Q56" t="str">
        <f>IF(A56="","",CONCATENATE('Cava Doors order'!C34," ","X"," ",'Cava Doors order'!D34))</f>
        <v/>
      </c>
      <c r="R56" s="418" t="str">
        <f>IF(Q56="","",CONCATENATE(MainOther!E56," ",MainOther!D56))</f>
        <v/>
      </c>
    </row>
    <row r="57" spans="1:18" x14ac:dyDescent="0.25">
      <c r="A57" s="460" t="str">
        <f>IF(F57="","","26")</f>
        <v/>
      </c>
      <c r="B57" t="str">
        <f>IF(I57="","",'Cava Doors order'!$K$2)</f>
        <v/>
      </c>
      <c r="C57" s="464" t="str">
        <f>IF(B57="","",'Cava Doors order'!D35)</f>
        <v/>
      </c>
      <c r="D57" s="468" t="str">
        <f>IF(B57="","",'Cava Doors order'!C35-6)</f>
        <v/>
      </c>
      <c r="E57" t="str">
        <f t="shared" si="3"/>
        <v/>
      </c>
      <c r="F57" t="str">
        <f>IF(G57="","",'Cava Doors order'!E35)</f>
        <v/>
      </c>
      <c r="G57" t="str">
        <f>IF(MainOther!E57="","",IF(MainOther!E57=BDD!$AM$124,MainOther!G57,""))</f>
        <v/>
      </c>
      <c r="H57" t="str">
        <f t="shared" si="1"/>
        <v/>
      </c>
      <c r="I57" t="str">
        <f t="shared" si="2"/>
        <v/>
      </c>
      <c r="J57" t="str">
        <f>IF($G57="","",'Cava Doors order'!G35)</f>
        <v/>
      </c>
      <c r="K57" t="str">
        <f>IF($G57="","",'Cava Doors order'!H35)</f>
        <v/>
      </c>
      <c r="L57" t="str">
        <f>IF($G57="","",'Cava Doors order'!I35)</f>
        <v/>
      </c>
      <c r="M57" t="str">
        <f>IF($G57="","",'Cava Doors order'!J35)</f>
        <v/>
      </c>
      <c r="N57" t="str">
        <f>IF(G57="","",'Cava Doors order'!$E$7)</f>
        <v/>
      </c>
      <c r="O57" t="str">
        <f>IF(G57="","",'Cava Doors order'!$A$7)</f>
        <v/>
      </c>
      <c r="P57" s="443" t="str">
        <f>IF(A57="","",MainOther!C57)</f>
        <v/>
      </c>
      <c r="Q57" t="str">
        <f>IF(A57="","",CONCATENATE('Cava Doors order'!C35," ","X"," ",'Cava Doors order'!D35))</f>
        <v/>
      </c>
      <c r="R57" s="418" t="str">
        <f>IF(Q57="","",CONCATENATE(MainOther!E57," ",MainOther!D57))</f>
        <v/>
      </c>
    </row>
    <row r="58" spans="1:18" x14ac:dyDescent="0.25">
      <c r="A58" s="460" t="str">
        <f>IF(F58="","","27")</f>
        <v/>
      </c>
      <c r="B58" t="str">
        <f>IF(I58="","",'Cava Doors order'!$K$2)</f>
        <v/>
      </c>
      <c r="C58" s="464" t="str">
        <f>IF(B58="","",'Cava Doors order'!D36)</f>
        <v/>
      </c>
      <c r="D58" s="468" t="str">
        <f>IF(B58="","",'Cava Doors order'!C36-6)</f>
        <v/>
      </c>
      <c r="E58" t="str">
        <f t="shared" si="3"/>
        <v/>
      </c>
      <c r="F58" t="str">
        <f>IF(G58="","",'Cava Doors order'!E36)</f>
        <v/>
      </c>
      <c r="G58" t="str">
        <f>IF(MainOther!E58="","",IF(MainOther!E58=BDD!$AM$124,MainOther!G58,""))</f>
        <v/>
      </c>
      <c r="H58" t="str">
        <f t="shared" si="1"/>
        <v/>
      </c>
      <c r="I58" t="str">
        <f t="shared" si="2"/>
        <v/>
      </c>
      <c r="J58" t="str">
        <f>IF($G58="","",'Cava Doors order'!G36)</f>
        <v/>
      </c>
      <c r="K58" t="str">
        <f>IF($G58="","",'Cava Doors order'!H36)</f>
        <v/>
      </c>
      <c r="L58" t="str">
        <f>IF($G58="","",'Cava Doors order'!I36)</f>
        <v/>
      </c>
      <c r="M58" t="str">
        <f>IF($G58="","",'Cava Doors order'!J36)</f>
        <v/>
      </c>
      <c r="N58" t="str">
        <f>IF(G58="","",'Cava Doors order'!$E$7)</f>
        <v/>
      </c>
      <c r="O58" t="str">
        <f>IF(G58="","",'Cava Doors order'!$A$7)</f>
        <v/>
      </c>
      <c r="P58" s="443" t="str">
        <f>IF(A58="","",MainOther!C58)</f>
        <v/>
      </c>
      <c r="Q58" t="str">
        <f>IF(A58="","",CONCATENATE('Cava Doors order'!C36," ","X"," ",'Cava Doors order'!D36))</f>
        <v/>
      </c>
      <c r="R58" s="418" t="str">
        <f>IF(Q58="","",CONCATENATE(MainOther!E58," ",MainOther!D58))</f>
        <v/>
      </c>
    </row>
    <row r="59" spans="1:18" x14ac:dyDescent="0.25">
      <c r="A59" s="460" t="str">
        <f>IF(F59="","","28")</f>
        <v/>
      </c>
      <c r="B59" t="str">
        <f>IF(I59="","",'Cava Doors order'!$K$2)</f>
        <v/>
      </c>
      <c r="C59" s="464" t="str">
        <f>IF(B59="","",'Cava Doors order'!D37)</f>
        <v/>
      </c>
      <c r="D59" s="468" t="str">
        <f>IF(B59="","",'Cava Doors order'!C37-6)</f>
        <v/>
      </c>
      <c r="E59" t="str">
        <f t="shared" si="3"/>
        <v/>
      </c>
      <c r="F59" t="str">
        <f>IF(G59="","",'Cava Doors order'!E37)</f>
        <v/>
      </c>
      <c r="G59" t="str">
        <f>IF(MainOther!E59="","",IF(MainOther!E59=BDD!$AM$124,MainOther!G59,""))</f>
        <v/>
      </c>
      <c r="H59" t="str">
        <f t="shared" si="1"/>
        <v/>
      </c>
      <c r="I59" t="str">
        <f t="shared" si="2"/>
        <v/>
      </c>
      <c r="J59" t="str">
        <f>IF($G59="","",'Cava Doors order'!G37)</f>
        <v/>
      </c>
      <c r="K59" t="str">
        <f>IF($G59="","",'Cava Doors order'!H37)</f>
        <v/>
      </c>
      <c r="L59" t="str">
        <f>IF($G59="","",'Cava Doors order'!I37)</f>
        <v/>
      </c>
      <c r="M59" t="str">
        <f>IF($G59="","",'Cava Doors order'!J37)</f>
        <v/>
      </c>
      <c r="N59" t="str">
        <f>IF(G59="","",'Cava Doors order'!$E$7)</f>
        <v/>
      </c>
      <c r="O59" t="str">
        <f>IF(G59="","",'Cava Doors order'!$A$7)</f>
        <v/>
      </c>
      <c r="P59" s="443" t="str">
        <f>IF(A59="","",MainOther!C59)</f>
        <v/>
      </c>
      <c r="Q59" t="str">
        <f>IF(A59="","",CONCATENATE('Cava Doors order'!C37," ","X"," ",'Cava Doors order'!D37))</f>
        <v/>
      </c>
      <c r="R59" s="418" t="str">
        <f>IF(Q59="","",CONCATENATE(MainOther!E59," ",MainOther!D59))</f>
        <v/>
      </c>
    </row>
    <row r="60" spans="1:18" x14ac:dyDescent="0.25">
      <c r="A60" s="460" t="str">
        <f>IF(F60="","","29")</f>
        <v/>
      </c>
      <c r="B60" t="str">
        <f>IF(I60="","",'Cava Doors order'!$K$2)</f>
        <v/>
      </c>
      <c r="C60" s="464" t="str">
        <f>IF(B60="","",'Cava Doors order'!D38)</f>
        <v/>
      </c>
      <c r="D60" s="468" t="str">
        <f>IF(B60="","",'Cava Doors order'!C38-6)</f>
        <v/>
      </c>
      <c r="E60" t="str">
        <f t="shared" si="3"/>
        <v/>
      </c>
      <c r="F60" t="str">
        <f>IF(G60="","",'Cava Doors order'!E38)</f>
        <v/>
      </c>
      <c r="G60" t="str">
        <f>IF(MainOther!E60="","",IF(MainOther!E60=BDD!$AM$124,MainOther!G60,""))</f>
        <v/>
      </c>
      <c r="H60" t="str">
        <f t="shared" si="1"/>
        <v/>
      </c>
      <c r="I60" t="str">
        <f t="shared" si="2"/>
        <v/>
      </c>
      <c r="J60" t="str">
        <f>IF($G60="","",'Cava Doors order'!G38)</f>
        <v/>
      </c>
      <c r="K60" t="str">
        <f>IF($G60="","",'Cava Doors order'!H38)</f>
        <v/>
      </c>
      <c r="L60" t="str">
        <f>IF($G60="","",'Cava Doors order'!I38)</f>
        <v/>
      </c>
      <c r="M60" t="str">
        <f>IF($G60="","",'Cava Doors order'!J38)</f>
        <v/>
      </c>
      <c r="N60" t="str">
        <f>IF(G60="","",'Cava Doors order'!$E$7)</f>
        <v/>
      </c>
      <c r="O60" t="str">
        <f>IF(G60="","",'Cava Doors order'!$A$7)</f>
        <v/>
      </c>
      <c r="P60" s="443" t="str">
        <f>IF(A60="","",MainOther!C60)</f>
        <v/>
      </c>
      <c r="Q60" t="str">
        <f>IF(A60="","",CONCATENATE('Cava Doors order'!C38," ","X"," ",'Cava Doors order'!D38))</f>
        <v/>
      </c>
      <c r="R60" s="418" t="str">
        <f>IF(Q60="","",CONCATENATE(MainOther!E60," ",MainOther!D60))</f>
        <v/>
      </c>
    </row>
    <row r="61" spans="1:18" x14ac:dyDescent="0.25">
      <c r="A61" s="460" t="str">
        <f>IF(F61="","","30")</f>
        <v/>
      </c>
      <c r="B61" s="432" t="str">
        <f>IF(I61="","",'Cava Doors order'!$K$2)</f>
        <v/>
      </c>
      <c r="C61" s="469" t="str">
        <f>IF(B61="","",'Cava Doors order'!D39)</f>
        <v/>
      </c>
      <c r="D61" s="470" t="str">
        <f>IF(B61="","",'Cava Doors order'!C39-6)</f>
        <v/>
      </c>
      <c r="E61" s="432" t="str">
        <f t="shared" si="3"/>
        <v/>
      </c>
      <c r="F61" s="432" t="str">
        <f>IF(G61="","",'Cava Doors order'!E39)</f>
        <v/>
      </c>
      <c r="G61" s="432" t="str">
        <f>IF(MainOther!E61="","",IF(MainOther!E61=BDD!$AM$124,MainOther!G61,""))</f>
        <v/>
      </c>
      <c r="H61" s="432" t="str">
        <f t="shared" si="1"/>
        <v/>
      </c>
      <c r="I61" s="432" t="str">
        <f t="shared" si="2"/>
        <v/>
      </c>
      <c r="J61" s="432" t="str">
        <f>IF($G61="","",'Cava Doors order'!G39)</f>
        <v/>
      </c>
      <c r="K61" s="432" t="str">
        <f>IF($G61="","",'Cava Doors order'!H39)</f>
        <v/>
      </c>
      <c r="L61" s="432" t="str">
        <f>IF($G61="","",'Cava Doors order'!I39)</f>
        <v/>
      </c>
      <c r="M61" s="432" t="str">
        <f>IF($G61="","",'Cava Doors order'!J39)</f>
        <v/>
      </c>
      <c r="N61" s="432" t="str">
        <f>IF(G61="","",'Cava Doors order'!$E$7)</f>
        <v/>
      </c>
      <c r="O61" s="432" t="str">
        <f>IF(G61="","",'Cava Doors order'!$A$7)</f>
        <v/>
      </c>
      <c r="P61" s="444" t="str">
        <f>IF(A61="","",MainOther!C61)</f>
        <v/>
      </c>
      <c r="Q61" s="432" t="str">
        <f>IF(A61="","",CONCATENATE('Cava Doors order'!C39," ","X"," ",'Cava Doors order'!D39))</f>
        <v/>
      </c>
      <c r="R61" s="433" t="str">
        <f>IF(Q61="","",CONCATENATE(MainOther!E61," ",MainOther!D61))</f>
        <v/>
      </c>
    </row>
    <row r="62" spans="1:18" x14ac:dyDescent="0.25">
      <c r="C62" s="464"/>
      <c r="D62" s="465"/>
      <c r="P62" t="str">
        <f>IF(A62="","",MainOther!C62)</f>
        <v/>
      </c>
    </row>
    <row r="63" spans="1:18" x14ac:dyDescent="0.25">
      <c r="C63" s="464"/>
      <c r="D63" s="465"/>
      <c r="P63" t="str">
        <f>IF(A63="","",MainOther!C63)</f>
        <v/>
      </c>
    </row>
    <row r="64" spans="1:18" x14ac:dyDescent="0.25">
      <c r="C64" s="464"/>
      <c r="D64" s="465"/>
      <c r="P64" t="str">
        <f>IF(A64="","",MainOther!C64)</f>
        <v/>
      </c>
    </row>
    <row r="65" spans="3:16" x14ac:dyDescent="0.25">
      <c r="C65" s="464"/>
      <c r="D65" s="465"/>
      <c r="P65" t="str">
        <f>IF(A65="","",MainOther!C65)</f>
        <v/>
      </c>
    </row>
  </sheetData>
  <pageMargins left="0.7" right="0.7" top="0.75" bottom="0.75" header="0.3" footer="0.3"/>
  <pageSetup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00B050"/>
  </sheetPr>
  <dimension ref="A1:Q31"/>
  <sheetViews>
    <sheetView workbookViewId="0">
      <selection activeCell="F38" sqref="F38"/>
    </sheetView>
  </sheetViews>
  <sheetFormatPr defaultColWidth="11.42578125" defaultRowHeight="15" x14ac:dyDescent="0.25"/>
  <cols>
    <col min="1" max="1" width="9.140625" customWidth="1"/>
    <col min="2" max="2" width="12.28515625" customWidth="1"/>
    <col min="3" max="4" width="14.42578125" customWidth="1"/>
    <col min="5" max="5" width="9.42578125" customWidth="1"/>
    <col min="6" max="6" width="19" customWidth="1"/>
    <col min="7" max="7" width="8.7109375" customWidth="1"/>
    <col min="8" max="8" width="12.42578125" customWidth="1"/>
    <col min="9" max="9" width="11.140625" customWidth="1"/>
    <col min="10" max="13" width="13.42578125" customWidth="1"/>
    <col min="14" max="14" width="13.28515625" customWidth="1"/>
    <col min="15" max="15" width="11" customWidth="1"/>
    <col min="16" max="16" width="9.7109375" customWidth="1"/>
    <col min="17" max="17" width="15.42578125" customWidth="1"/>
  </cols>
  <sheetData>
    <row r="1" spans="1:17" x14ac:dyDescent="0.25">
      <c r="A1" s="60" t="s">
        <v>205</v>
      </c>
      <c r="B1" s="60" t="s">
        <v>206</v>
      </c>
      <c r="C1" s="89" t="s">
        <v>207</v>
      </c>
      <c r="D1" s="89" t="s">
        <v>3</v>
      </c>
      <c r="E1" s="59" t="s">
        <v>105</v>
      </c>
      <c r="F1" s="60" t="s">
        <v>106</v>
      </c>
      <c r="G1" s="60" t="s">
        <v>107</v>
      </c>
      <c r="H1" s="60" t="s">
        <v>5</v>
      </c>
      <c r="I1" s="60" t="s">
        <v>108</v>
      </c>
      <c r="J1" s="60" t="s">
        <v>109</v>
      </c>
      <c r="K1" s="60" t="s">
        <v>110</v>
      </c>
      <c r="L1" s="60" t="s">
        <v>111</v>
      </c>
      <c r="M1" s="60" t="s">
        <v>112</v>
      </c>
      <c r="N1" s="60" t="s">
        <v>1</v>
      </c>
      <c r="O1" s="60" t="s">
        <v>113</v>
      </c>
      <c r="P1" s="60" t="s">
        <v>12</v>
      </c>
      <c r="Q1" s="61" t="s">
        <v>108</v>
      </c>
    </row>
    <row r="2" spans="1:17" x14ac:dyDescent="0.25">
      <c r="A2">
        <v>1</v>
      </c>
      <c r="B2">
        <f>'Doors order'!$K$2</f>
        <v>0</v>
      </c>
      <c r="C2" s="62">
        <f>IF(H2="horizontal",'Doors order'!C10,'Doors order'!D10)</f>
        <v>0</v>
      </c>
      <c r="D2" s="62">
        <f>IF(H2="horizontal",'Doors order'!D10,'Doors order'!C10)</f>
        <v>0</v>
      </c>
      <c r="E2" s="62">
        <v>0.71</v>
      </c>
      <c r="F2">
        <f>'Doors order'!E10</f>
        <v>0</v>
      </c>
      <c r="G2">
        <f>'Doors order'!B10</f>
        <v>0</v>
      </c>
      <c r="H2">
        <f>'Doors order'!F10</f>
        <v>0</v>
      </c>
      <c r="I2" t="s">
        <v>114</v>
      </c>
      <c r="J2">
        <f>'Doors order'!G10</f>
        <v>0</v>
      </c>
      <c r="K2">
        <f>'Doors order'!H10</f>
        <v>0</v>
      </c>
      <c r="L2">
        <f>'Doors order'!I10</f>
        <v>0</v>
      </c>
      <c r="M2">
        <f>'Doors order'!J10</f>
        <v>0</v>
      </c>
      <c r="N2" s="63" t="str">
        <f>IF('Doors order'!$E$7="",IF('Doors order'!$G$7="","",'Doors order'!$G$7),'Doors order'!$E$7)</f>
        <v/>
      </c>
      <c r="O2" t="str">
        <f>IF('Doors order'!$A$7="","",'Doors order'!$A$7)</f>
        <v/>
      </c>
      <c r="P2" s="64" t="str">
        <f>IF('Doors order'!$K$7="","",'Doors order'!$K$7)</f>
        <v/>
      </c>
      <c r="Q2" s="436"/>
    </row>
    <row r="3" spans="1:17" x14ac:dyDescent="0.25">
      <c r="A3">
        <v>2</v>
      </c>
      <c r="B3">
        <f>'Doors order'!$K$2</f>
        <v>0</v>
      </c>
      <c r="C3" s="62">
        <f>IF(H3="horizontal",'Doors order'!C11,'Doors order'!D11)</f>
        <v>0</v>
      </c>
      <c r="D3" s="62">
        <f>IF(H3="horizontal",'Doors order'!D11,'Doors order'!C11)</f>
        <v>0</v>
      </c>
      <c r="E3" s="62">
        <v>0.71</v>
      </c>
      <c r="F3">
        <f>'Doors order'!E11</f>
        <v>0</v>
      </c>
      <c r="G3">
        <f>'Doors order'!B11</f>
        <v>0</v>
      </c>
      <c r="H3">
        <f>'Doors order'!F11</f>
        <v>0</v>
      </c>
      <c r="I3" t="s">
        <v>114</v>
      </c>
      <c r="J3">
        <f>'Doors order'!G11</f>
        <v>0</v>
      </c>
      <c r="K3">
        <f>'Doors order'!H11</f>
        <v>0</v>
      </c>
      <c r="L3">
        <f>'Doors order'!I11</f>
        <v>0</v>
      </c>
      <c r="M3">
        <f>'Doors order'!J11</f>
        <v>0</v>
      </c>
      <c r="N3" s="63" t="str">
        <f>IF('Doors order'!$E$7="",IF('Doors order'!$G$7="","",'Doors order'!$G$7),'Doors order'!$E$7)</f>
        <v/>
      </c>
      <c r="O3" t="str">
        <f>IF('Doors order'!$A$7="","",'Doors order'!$A$7)</f>
        <v/>
      </c>
      <c r="P3" s="64" t="str">
        <f>IF('Doors order'!$K$7="","",'Doors order'!$K$7)</f>
        <v/>
      </c>
      <c r="Q3" s="436"/>
    </row>
    <row r="4" spans="1:17" x14ac:dyDescent="0.25">
      <c r="A4">
        <v>3</v>
      </c>
      <c r="B4">
        <f>'Doors order'!$K$2</f>
        <v>0</v>
      </c>
      <c r="C4" s="62">
        <f>IF(H4="horizontal",'Doors order'!C12,'Doors order'!D12)</f>
        <v>0</v>
      </c>
      <c r="D4" s="62">
        <f>IF(H4="horizontal",'Doors order'!D12,'Doors order'!C12)</f>
        <v>0</v>
      </c>
      <c r="E4" s="62">
        <v>0.71</v>
      </c>
      <c r="F4">
        <f>'Doors order'!E12</f>
        <v>0</v>
      </c>
      <c r="G4">
        <f>'Doors order'!B12</f>
        <v>0</v>
      </c>
      <c r="H4">
        <f>'Doors order'!F12</f>
        <v>0</v>
      </c>
      <c r="I4" t="s">
        <v>114</v>
      </c>
      <c r="J4">
        <f>'Doors order'!G12</f>
        <v>0</v>
      </c>
      <c r="K4">
        <f>'Doors order'!H12</f>
        <v>0</v>
      </c>
      <c r="L4">
        <f>'Doors order'!I12</f>
        <v>0</v>
      </c>
      <c r="M4">
        <f>'Doors order'!J12</f>
        <v>0</v>
      </c>
      <c r="N4" s="63" t="str">
        <f>IF('Doors order'!$E$7="",IF('Doors order'!$G$7="","",'Doors order'!$G$7),'Doors order'!$E$7)</f>
        <v/>
      </c>
      <c r="O4" t="str">
        <f>IF('Doors order'!$A$7="","",'Doors order'!$A$7)</f>
        <v/>
      </c>
      <c r="P4" s="64" t="str">
        <f>IF('Doors order'!$K$7="","",'Doors order'!$K$7)</f>
        <v/>
      </c>
      <c r="Q4" s="436"/>
    </row>
    <row r="5" spans="1:17" x14ac:dyDescent="0.25">
      <c r="A5">
        <v>4</v>
      </c>
      <c r="B5">
        <f>'Doors order'!$K$2</f>
        <v>0</v>
      </c>
      <c r="C5" s="62">
        <f>IF(H5="horizontal",'Doors order'!C13,'Doors order'!D13)</f>
        <v>0</v>
      </c>
      <c r="D5" s="62">
        <f>IF(H5="horizontal",'Doors order'!D13,'Doors order'!C13)</f>
        <v>0</v>
      </c>
      <c r="E5" s="62">
        <v>0.71</v>
      </c>
      <c r="F5">
        <f>'Doors order'!E13</f>
        <v>0</v>
      </c>
      <c r="G5">
        <f>'Doors order'!B13</f>
        <v>0</v>
      </c>
      <c r="H5">
        <f>'Doors order'!F13</f>
        <v>0</v>
      </c>
      <c r="I5" t="s">
        <v>114</v>
      </c>
      <c r="J5">
        <f>'Doors order'!G13</f>
        <v>0</v>
      </c>
      <c r="K5">
        <f>'Doors order'!H13</f>
        <v>0</v>
      </c>
      <c r="L5">
        <f>'Doors order'!I13</f>
        <v>0</v>
      </c>
      <c r="M5">
        <f>'Doors order'!J13</f>
        <v>0</v>
      </c>
      <c r="N5" s="63" t="str">
        <f>IF('Doors order'!$E$7="",IF('Doors order'!$G$7="","",'Doors order'!$G$7),'Doors order'!$E$7)</f>
        <v/>
      </c>
      <c r="O5" t="str">
        <f>IF('Doors order'!$A$7="","",'Doors order'!$A$7)</f>
        <v/>
      </c>
      <c r="P5" s="64" t="str">
        <f>IF('Doors order'!$K$7="","",'Doors order'!$K$7)</f>
        <v/>
      </c>
      <c r="Q5" s="436"/>
    </row>
    <row r="6" spans="1:17" x14ac:dyDescent="0.25">
      <c r="A6">
        <v>5</v>
      </c>
      <c r="B6">
        <f>'Doors order'!$K$2</f>
        <v>0</v>
      </c>
      <c r="C6" s="62">
        <f>IF(H6="horizontal",'Doors order'!C14,'Doors order'!D14)</f>
        <v>0</v>
      </c>
      <c r="D6" s="62">
        <f>IF(H6="horizontal",'Doors order'!D14,'Doors order'!C14)</f>
        <v>0</v>
      </c>
      <c r="E6" s="62">
        <v>0.71</v>
      </c>
      <c r="F6">
        <f>'Doors order'!E14</f>
        <v>0</v>
      </c>
      <c r="G6">
        <f>'Doors order'!B14</f>
        <v>0</v>
      </c>
      <c r="H6">
        <f>'Doors order'!F14</f>
        <v>0</v>
      </c>
      <c r="I6" t="s">
        <v>114</v>
      </c>
      <c r="J6">
        <f>'Doors order'!G14</f>
        <v>0</v>
      </c>
      <c r="K6">
        <f>'Doors order'!H14</f>
        <v>0</v>
      </c>
      <c r="L6">
        <f>'Doors order'!I14</f>
        <v>0</v>
      </c>
      <c r="M6">
        <f>'Doors order'!J14</f>
        <v>0</v>
      </c>
      <c r="N6" s="63" t="str">
        <f>IF('Doors order'!$E$7="",IF('Doors order'!$G$7="","",'Doors order'!$G$7),'Doors order'!$E$7)</f>
        <v/>
      </c>
      <c r="O6" t="str">
        <f>IF('Doors order'!$A$7="","",'Doors order'!$A$7)</f>
        <v/>
      </c>
      <c r="P6" s="64" t="str">
        <f>IF('Doors order'!$K$7="","",'Doors order'!$K$7)</f>
        <v/>
      </c>
      <c r="Q6" s="436"/>
    </row>
    <row r="7" spans="1:17" x14ac:dyDescent="0.25">
      <c r="A7">
        <v>6</v>
      </c>
      <c r="B7">
        <f>'Doors order'!$K$2</f>
        <v>0</v>
      </c>
      <c r="C7" s="62">
        <f>IF(H7="horizontal",'Doors order'!C15,'Doors order'!D15)</f>
        <v>0</v>
      </c>
      <c r="D7" s="62">
        <f>IF(H7="horizontal",'Doors order'!D15,'Doors order'!C15)</f>
        <v>0</v>
      </c>
      <c r="E7" s="62">
        <v>0.71</v>
      </c>
      <c r="F7">
        <f>'Doors order'!E15</f>
        <v>0</v>
      </c>
      <c r="G7">
        <f>'Doors order'!B15</f>
        <v>0</v>
      </c>
      <c r="H7">
        <f>'Doors order'!F15</f>
        <v>0</v>
      </c>
      <c r="I7" t="s">
        <v>114</v>
      </c>
      <c r="J7">
        <f>'Doors order'!G15</f>
        <v>0</v>
      </c>
      <c r="K7">
        <f>'Doors order'!H15</f>
        <v>0</v>
      </c>
      <c r="L7">
        <f>'Doors order'!I15</f>
        <v>0</v>
      </c>
      <c r="M7">
        <f>'Doors order'!J15</f>
        <v>0</v>
      </c>
      <c r="N7" s="63" t="str">
        <f>IF('Doors order'!$E$7="",IF('Doors order'!$G$7="","",'Doors order'!$G$7),'Doors order'!$E$7)</f>
        <v/>
      </c>
      <c r="O7" t="str">
        <f>IF('Doors order'!$A$7="","",'Doors order'!$A$7)</f>
        <v/>
      </c>
      <c r="P7" s="64" t="str">
        <f>IF('Doors order'!$K$7="","",'Doors order'!$K$7)</f>
        <v/>
      </c>
      <c r="Q7" s="436"/>
    </row>
    <row r="8" spans="1:17" x14ac:dyDescent="0.25">
      <c r="A8">
        <v>7</v>
      </c>
      <c r="B8">
        <f>'Doors order'!$K$2</f>
        <v>0</v>
      </c>
      <c r="C8" s="62">
        <f>IF(H8="horizontal",'Doors order'!C16,'Doors order'!D16)</f>
        <v>0</v>
      </c>
      <c r="D8" s="62">
        <f>IF(H8="horizontal",'Doors order'!D16,'Doors order'!C16)</f>
        <v>0</v>
      </c>
      <c r="E8" s="62">
        <v>0.71</v>
      </c>
      <c r="F8">
        <f>'Doors order'!E16</f>
        <v>0</v>
      </c>
      <c r="G8">
        <f>'Doors order'!B16</f>
        <v>0</v>
      </c>
      <c r="H8">
        <f>'Doors order'!F16</f>
        <v>0</v>
      </c>
      <c r="I8" t="s">
        <v>114</v>
      </c>
      <c r="J8">
        <f>'Doors order'!G16</f>
        <v>0</v>
      </c>
      <c r="K8">
        <f>'Doors order'!H16</f>
        <v>0</v>
      </c>
      <c r="L8">
        <f>'Doors order'!I16</f>
        <v>0</v>
      </c>
      <c r="M8">
        <f>'Doors order'!J16</f>
        <v>0</v>
      </c>
      <c r="N8" s="63" t="str">
        <f>IF('Doors order'!$E$7="",IF('Doors order'!$G$7="","",'Doors order'!$G$7),'Doors order'!$E$7)</f>
        <v/>
      </c>
      <c r="O8" t="str">
        <f>IF('Doors order'!$A$7="","",'Doors order'!$A$7)</f>
        <v/>
      </c>
      <c r="P8" s="64" t="str">
        <f>IF('Doors order'!$K$7="","",'Doors order'!$K$7)</f>
        <v/>
      </c>
      <c r="Q8" s="436"/>
    </row>
    <row r="9" spans="1:17" x14ac:dyDescent="0.25">
      <c r="A9">
        <v>8</v>
      </c>
      <c r="B9">
        <f>'Doors order'!$K$2</f>
        <v>0</v>
      </c>
      <c r="C9" s="62">
        <f>IF(H9="horizontal",'Doors order'!C17,'Doors order'!D17)</f>
        <v>0</v>
      </c>
      <c r="D9" s="62">
        <f>IF(H9="horizontal",'Doors order'!D17,'Doors order'!C17)</f>
        <v>0</v>
      </c>
      <c r="E9" s="62">
        <v>0.71</v>
      </c>
      <c r="F9">
        <f>'Doors order'!E17</f>
        <v>0</v>
      </c>
      <c r="G9">
        <f>'Doors order'!B17</f>
        <v>0</v>
      </c>
      <c r="H9">
        <f>'Doors order'!F17</f>
        <v>0</v>
      </c>
      <c r="I9" t="s">
        <v>114</v>
      </c>
      <c r="J9">
        <f>'Doors order'!G17</f>
        <v>0</v>
      </c>
      <c r="K9">
        <f>'Doors order'!H17</f>
        <v>0</v>
      </c>
      <c r="L9">
        <f>'Doors order'!I17</f>
        <v>0</v>
      </c>
      <c r="M9">
        <f>'Doors order'!J17</f>
        <v>0</v>
      </c>
      <c r="N9" s="63" t="str">
        <f>IF('Doors order'!$E$7="",IF('Doors order'!$G$7="","",'Doors order'!$G$7),'Doors order'!$E$7)</f>
        <v/>
      </c>
      <c r="O9" t="str">
        <f>IF('Doors order'!$A$7="","",'Doors order'!$A$7)</f>
        <v/>
      </c>
      <c r="P9" s="64" t="str">
        <f>IF('Doors order'!$K$7="","",'Doors order'!$K$7)</f>
        <v/>
      </c>
      <c r="Q9" s="436"/>
    </row>
    <row r="10" spans="1:17" x14ac:dyDescent="0.25">
      <c r="A10">
        <v>9</v>
      </c>
      <c r="B10">
        <f>'Doors order'!$K$2</f>
        <v>0</v>
      </c>
      <c r="C10" s="62">
        <f>IF(H10="horizontal",'Doors order'!C18,'Doors order'!D18)</f>
        <v>0</v>
      </c>
      <c r="D10" s="62">
        <f>IF(H10="horizontal",'Doors order'!D18,'Doors order'!C18)</f>
        <v>0</v>
      </c>
      <c r="E10" s="62">
        <v>0.71</v>
      </c>
      <c r="F10">
        <f>'Doors order'!E18</f>
        <v>0</v>
      </c>
      <c r="G10">
        <f>'Doors order'!B18</f>
        <v>0</v>
      </c>
      <c r="H10">
        <f>'Doors order'!F18</f>
        <v>0</v>
      </c>
      <c r="I10" t="s">
        <v>114</v>
      </c>
      <c r="J10">
        <f>'Doors order'!G18</f>
        <v>0</v>
      </c>
      <c r="K10">
        <f>'Doors order'!H18</f>
        <v>0</v>
      </c>
      <c r="L10">
        <f>'Doors order'!I18</f>
        <v>0</v>
      </c>
      <c r="M10">
        <f>'Doors order'!J18</f>
        <v>0</v>
      </c>
      <c r="N10" s="63" t="str">
        <f>IF('Doors order'!$E$7="",IF('Doors order'!$G$7="","",'Doors order'!$G$7),'Doors order'!$E$7)</f>
        <v/>
      </c>
      <c r="O10" t="str">
        <f>IF('Doors order'!$A$7="","",'Doors order'!$A$7)</f>
        <v/>
      </c>
      <c r="P10" s="64" t="str">
        <f>IF('Doors order'!$K$7="","",'Doors order'!$K$7)</f>
        <v/>
      </c>
      <c r="Q10" s="436"/>
    </row>
    <row r="11" spans="1:17" x14ac:dyDescent="0.25">
      <c r="A11">
        <v>10</v>
      </c>
      <c r="B11">
        <f>'Doors order'!$K$2</f>
        <v>0</v>
      </c>
      <c r="C11" s="62">
        <f>IF(H11="horizontal",'Doors order'!C19,'Doors order'!D19)</f>
        <v>0</v>
      </c>
      <c r="D11" s="62">
        <f>IF(H11="horizontal",'Doors order'!D19,'Doors order'!C19)</f>
        <v>0</v>
      </c>
      <c r="E11" s="62">
        <v>0.71</v>
      </c>
      <c r="F11">
        <f>'Doors order'!E19</f>
        <v>0</v>
      </c>
      <c r="G11">
        <f>'Doors order'!B19</f>
        <v>0</v>
      </c>
      <c r="H11">
        <f>'Doors order'!F19</f>
        <v>0</v>
      </c>
      <c r="I11" t="s">
        <v>114</v>
      </c>
      <c r="J11">
        <f>'Doors order'!G19</f>
        <v>0</v>
      </c>
      <c r="K11">
        <f>'Doors order'!H19</f>
        <v>0</v>
      </c>
      <c r="L11">
        <f>'Doors order'!I19</f>
        <v>0</v>
      </c>
      <c r="M11">
        <f>'Doors order'!J19</f>
        <v>0</v>
      </c>
      <c r="N11" s="63" t="str">
        <f>IF('Doors order'!$E$7="",IF('Doors order'!$G$7="","",'Doors order'!$G$7),'Doors order'!$E$7)</f>
        <v/>
      </c>
      <c r="O11" t="str">
        <f>IF('Doors order'!$A$7="","",'Doors order'!$A$7)</f>
        <v/>
      </c>
      <c r="P11" s="64" t="str">
        <f>IF('Doors order'!$K$7="","",'Doors order'!$K$7)</f>
        <v/>
      </c>
      <c r="Q11" s="436"/>
    </row>
    <row r="12" spans="1:17" x14ac:dyDescent="0.25">
      <c r="A12">
        <v>11</v>
      </c>
      <c r="B12">
        <f>'Doors order'!$K$2</f>
        <v>0</v>
      </c>
      <c r="C12" s="62">
        <f>IF(H12="horizontal",'Doors order'!C20,'Doors order'!D20)</f>
        <v>0</v>
      </c>
      <c r="D12" s="62">
        <f>IF(H12="horizontal",'Doors order'!D20,'Doors order'!C20)</f>
        <v>0</v>
      </c>
      <c r="E12" s="62">
        <v>0.71</v>
      </c>
      <c r="F12">
        <f>'Doors order'!E20</f>
        <v>0</v>
      </c>
      <c r="G12">
        <f>'Doors order'!B20</f>
        <v>0</v>
      </c>
      <c r="H12">
        <f>'Doors order'!F20</f>
        <v>0</v>
      </c>
      <c r="I12" t="s">
        <v>114</v>
      </c>
      <c r="J12">
        <f>'Doors order'!G20</f>
        <v>0</v>
      </c>
      <c r="K12">
        <f>'Doors order'!H20</f>
        <v>0</v>
      </c>
      <c r="L12">
        <f>'Doors order'!I20</f>
        <v>0</v>
      </c>
      <c r="M12">
        <f>'Doors order'!J20</f>
        <v>0</v>
      </c>
      <c r="N12" s="63" t="str">
        <f>IF('Doors order'!$E$7="",IF('Doors order'!$G$7="","",'Doors order'!$G$7),'Doors order'!$E$7)</f>
        <v/>
      </c>
      <c r="O12" t="str">
        <f>IF('Doors order'!$A$7="","",'Doors order'!$A$7)</f>
        <v/>
      </c>
      <c r="P12" s="64" t="str">
        <f>IF('Doors order'!$K$7="","",'Doors order'!$K$7)</f>
        <v/>
      </c>
      <c r="Q12" s="436"/>
    </row>
    <row r="13" spans="1:17" x14ac:dyDescent="0.25">
      <c r="A13">
        <v>12</v>
      </c>
      <c r="B13">
        <f>'Doors order'!$K$2</f>
        <v>0</v>
      </c>
      <c r="C13" s="62">
        <f>IF(H13="horizontal",'Doors order'!C21,'Doors order'!D21)</f>
        <v>0</v>
      </c>
      <c r="D13" s="62">
        <f>IF(H13="horizontal",'Doors order'!D21,'Doors order'!C21)</f>
        <v>0</v>
      </c>
      <c r="E13" s="62">
        <v>0.71</v>
      </c>
      <c r="F13">
        <f>'Doors order'!E21</f>
        <v>0</v>
      </c>
      <c r="G13">
        <f>'Doors order'!B21</f>
        <v>0</v>
      </c>
      <c r="H13">
        <f>'Doors order'!F21</f>
        <v>0</v>
      </c>
      <c r="I13" t="s">
        <v>114</v>
      </c>
      <c r="J13">
        <f>'Doors order'!G21</f>
        <v>0</v>
      </c>
      <c r="K13">
        <f>'Doors order'!H21</f>
        <v>0</v>
      </c>
      <c r="L13">
        <f>'Doors order'!I21</f>
        <v>0</v>
      </c>
      <c r="M13">
        <f>'Doors order'!J21</f>
        <v>0</v>
      </c>
      <c r="N13" s="63" t="str">
        <f>IF('Doors order'!$E$7="",IF('Doors order'!$G$7="","",'Doors order'!$G$7),'Doors order'!$E$7)</f>
        <v/>
      </c>
      <c r="O13" t="str">
        <f>IF('Doors order'!$A$7="","",'Doors order'!$A$7)</f>
        <v/>
      </c>
      <c r="P13" s="64" t="str">
        <f>IF('Doors order'!$K$7="","",'Doors order'!$K$7)</f>
        <v/>
      </c>
      <c r="Q13" s="436"/>
    </row>
    <row r="14" spans="1:17" x14ac:dyDescent="0.25">
      <c r="A14">
        <v>13</v>
      </c>
      <c r="B14">
        <f>'Doors order'!$K$2</f>
        <v>0</v>
      </c>
      <c r="C14" s="62">
        <f>IF(H14="horizontal",'Doors order'!C22,'Doors order'!D22)</f>
        <v>0</v>
      </c>
      <c r="D14" s="62">
        <f>IF(H14="horizontal",'Doors order'!D22,'Doors order'!C22)</f>
        <v>0</v>
      </c>
      <c r="E14" s="62">
        <v>0.71</v>
      </c>
      <c r="F14">
        <f>'Doors order'!E22</f>
        <v>0</v>
      </c>
      <c r="G14">
        <f>'Doors order'!B22</f>
        <v>0</v>
      </c>
      <c r="H14">
        <f>'Doors order'!F22</f>
        <v>0</v>
      </c>
      <c r="I14" t="s">
        <v>114</v>
      </c>
      <c r="J14">
        <f>'Doors order'!G22</f>
        <v>0</v>
      </c>
      <c r="K14">
        <f>'Doors order'!H22</f>
        <v>0</v>
      </c>
      <c r="L14">
        <f>'Doors order'!I22</f>
        <v>0</v>
      </c>
      <c r="M14">
        <f>'Doors order'!J22</f>
        <v>0</v>
      </c>
      <c r="N14" s="63" t="str">
        <f>IF('Doors order'!$E$7="",IF('Doors order'!$G$7="","",'Doors order'!$G$7),'Doors order'!$E$7)</f>
        <v/>
      </c>
      <c r="O14" t="str">
        <f>IF('Doors order'!$A$7="","",'Doors order'!$A$7)</f>
        <v/>
      </c>
      <c r="P14" s="64" t="str">
        <f>IF('Doors order'!$K$7="","",'Doors order'!$K$7)</f>
        <v/>
      </c>
      <c r="Q14" s="436"/>
    </row>
    <row r="15" spans="1:17" x14ac:dyDescent="0.25">
      <c r="A15">
        <v>14</v>
      </c>
      <c r="B15">
        <f>'Doors order'!$K$2</f>
        <v>0</v>
      </c>
      <c r="C15" s="62">
        <f>IF(H15="horizontal",'Doors order'!C23,'Doors order'!D23)</f>
        <v>0</v>
      </c>
      <c r="D15" s="62">
        <f>IF(H15="horizontal",'Doors order'!D23,'Doors order'!C23)</f>
        <v>0</v>
      </c>
      <c r="E15" s="62">
        <v>0.71</v>
      </c>
      <c r="F15">
        <f>'Doors order'!E23</f>
        <v>0</v>
      </c>
      <c r="G15">
        <f>'Doors order'!B23</f>
        <v>0</v>
      </c>
      <c r="H15">
        <f>'Doors order'!F23</f>
        <v>0</v>
      </c>
      <c r="I15" t="s">
        <v>114</v>
      </c>
      <c r="J15">
        <f>'Doors order'!G23</f>
        <v>0</v>
      </c>
      <c r="K15">
        <f>'Doors order'!H23</f>
        <v>0</v>
      </c>
      <c r="L15">
        <f>'Doors order'!I23</f>
        <v>0</v>
      </c>
      <c r="M15">
        <f>'Doors order'!J23</f>
        <v>0</v>
      </c>
      <c r="N15" s="63" t="str">
        <f>IF('Doors order'!$E$7="",IF('Doors order'!$G$7="","",'Doors order'!$G$7),'Doors order'!$E$7)</f>
        <v/>
      </c>
      <c r="O15" t="str">
        <f>IF('Doors order'!$A$7="","",'Doors order'!$A$7)</f>
        <v/>
      </c>
      <c r="P15" s="64" t="str">
        <f>IF('Doors order'!$K$7="","",'Doors order'!$K$7)</f>
        <v/>
      </c>
      <c r="Q15" s="436"/>
    </row>
    <row r="16" spans="1:17" x14ac:dyDescent="0.25">
      <c r="A16">
        <v>15</v>
      </c>
      <c r="B16">
        <f>'Doors order'!$K$2</f>
        <v>0</v>
      </c>
      <c r="C16" s="62">
        <f>IF(H16="horizontal",'Doors order'!C24,'Doors order'!D24)</f>
        <v>0</v>
      </c>
      <c r="D16" s="62">
        <f>IF(H16="horizontal",'Doors order'!D24,'Doors order'!C24)</f>
        <v>0</v>
      </c>
      <c r="E16" s="62">
        <v>0.71</v>
      </c>
      <c r="F16">
        <f>'Doors order'!E24</f>
        <v>0</v>
      </c>
      <c r="G16">
        <f>'Doors order'!B24</f>
        <v>0</v>
      </c>
      <c r="H16">
        <f>'Doors order'!F24</f>
        <v>0</v>
      </c>
      <c r="I16" t="s">
        <v>114</v>
      </c>
      <c r="J16">
        <f>'Doors order'!G24</f>
        <v>0</v>
      </c>
      <c r="K16">
        <f>'Doors order'!H24</f>
        <v>0</v>
      </c>
      <c r="L16">
        <f>'Doors order'!I24</f>
        <v>0</v>
      </c>
      <c r="M16">
        <f>'Doors order'!J24</f>
        <v>0</v>
      </c>
      <c r="N16" s="63" t="str">
        <f>IF('Doors order'!$E$7="",IF('Doors order'!$G$7="","",'Doors order'!$G$7),'Doors order'!$E$7)</f>
        <v/>
      </c>
      <c r="O16" t="str">
        <f>IF('Doors order'!$A$7="","",'Doors order'!$A$7)</f>
        <v/>
      </c>
      <c r="P16" s="64" t="str">
        <f>IF('Doors order'!$K$7="","",'Doors order'!$K$7)</f>
        <v/>
      </c>
      <c r="Q16" s="436"/>
    </row>
    <row r="17" spans="1:17" x14ac:dyDescent="0.25">
      <c r="A17">
        <v>16</v>
      </c>
      <c r="B17">
        <f>'Doors order'!$K$2</f>
        <v>0</v>
      </c>
      <c r="C17" s="62">
        <f>IF(H17="horizontal",'Doors order'!C25,'Doors order'!D25)</f>
        <v>0</v>
      </c>
      <c r="D17" s="62">
        <f>IF(H17="horizontal",'Doors order'!D25,'Doors order'!C25)</f>
        <v>0</v>
      </c>
      <c r="E17" s="62">
        <v>0.71</v>
      </c>
      <c r="F17">
        <f>'Doors order'!E25</f>
        <v>0</v>
      </c>
      <c r="G17">
        <f>'Doors order'!B25</f>
        <v>0</v>
      </c>
      <c r="H17">
        <f>'Doors order'!F25</f>
        <v>0</v>
      </c>
      <c r="I17" t="s">
        <v>114</v>
      </c>
      <c r="J17">
        <f>'Doors order'!G25</f>
        <v>0</v>
      </c>
      <c r="K17">
        <f>'Doors order'!H25</f>
        <v>0</v>
      </c>
      <c r="L17">
        <f>'Doors order'!I25</f>
        <v>0</v>
      </c>
      <c r="M17">
        <f>'Doors order'!J25</f>
        <v>0</v>
      </c>
      <c r="N17" s="63" t="str">
        <f>IF('Doors order'!$E$7="",IF('Doors order'!$G$7="","",'Doors order'!$G$7),'Doors order'!$E$7)</f>
        <v/>
      </c>
      <c r="O17" t="str">
        <f>IF('Doors order'!$A$7="","",'Doors order'!$A$7)</f>
        <v/>
      </c>
      <c r="P17" s="64" t="str">
        <f>IF('Doors order'!$K$7="","",'Doors order'!$K$7)</f>
        <v/>
      </c>
      <c r="Q17" s="436"/>
    </row>
    <row r="18" spans="1:17" x14ac:dyDescent="0.25">
      <c r="A18">
        <v>17</v>
      </c>
      <c r="B18">
        <f>'Doors order'!$K$2</f>
        <v>0</v>
      </c>
      <c r="C18" s="62">
        <f>IF(H18="horizontal",'Doors order'!C26,'Doors order'!D26)</f>
        <v>0</v>
      </c>
      <c r="D18" s="62">
        <f>IF(H18="horizontal",'Doors order'!D26,'Doors order'!C26)</f>
        <v>0</v>
      </c>
      <c r="E18" s="62">
        <v>0.71</v>
      </c>
      <c r="F18">
        <f>'Doors order'!E26</f>
        <v>0</v>
      </c>
      <c r="G18">
        <f>'Doors order'!B26</f>
        <v>0</v>
      </c>
      <c r="H18">
        <f>'Doors order'!F26</f>
        <v>0</v>
      </c>
      <c r="I18" t="s">
        <v>114</v>
      </c>
      <c r="J18">
        <f>'Doors order'!G26</f>
        <v>0</v>
      </c>
      <c r="K18">
        <f>'Doors order'!H26</f>
        <v>0</v>
      </c>
      <c r="L18">
        <f>'Doors order'!I26</f>
        <v>0</v>
      </c>
      <c r="M18">
        <f>'Doors order'!J26</f>
        <v>0</v>
      </c>
      <c r="N18" s="63" t="str">
        <f>IF('Doors order'!$E$7="",IF('Doors order'!$G$7="","",'Doors order'!$G$7),'Doors order'!$E$7)</f>
        <v/>
      </c>
      <c r="O18" t="str">
        <f>IF('Doors order'!$A$7="","",'Doors order'!$A$7)</f>
        <v/>
      </c>
      <c r="P18" s="64" t="str">
        <f>IF('Doors order'!$K$7="","",'Doors order'!$K$7)</f>
        <v/>
      </c>
      <c r="Q18" s="436"/>
    </row>
    <row r="19" spans="1:17" x14ac:dyDescent="0.25">
      <c r="A19">
        <v>18</v>
      </c>
      <c r="B19">
        <f>'Doors order'!$K$2</f>
        <v>0</v>
      </c>
      <c r="C19" s="62">
        <f>IF(H19="horizontal",'Doors order'!C27,'Doors order'!D27)</f>
        <v>0</v>
      </c>
      <c r="D19" s="62">
        <f>IF(H19="horizontal",'Doors order'!D27,'Doors order'!C27)</f>
        <v>0</v>
      </c>
      <c r="E19" s="62">
        <v>0.71</v>
      </c>
      <c r="F19">
        <f>'Doors order'!E27</f>
        <v>0</v>
      </c>
      <c r="G19">
        <f>'Doors order'!B27</f>
        <v>0</v>
      </c>
      <c r="H19">
        <f>'Doors order'!F27</f>
        <v>0</v>
      </c>
      <c r="I19" t="s">
        <v>114</v>
      </c>
      <c r="J19">
        <f>'Doors order'!G27</f>
        <v>0</v>
      </c>
      <c r="K19">
        <f>'Doors order'!H27</f>
        <v>0</v>
      </c>
      <c r="L19">
        <f>'Doors order'!I27</f>
        <v>0</v>
      </c>
      <c r="M19">
        <f>'Doors order'!J27</f>
        <v>0</v>
      </c>
      <c r="N19" s="63" t="str">
        <f>IF('Doors order'!$E$7="",IF('Doors order'!$G$7="","",'Doors order'!$G$7),'Doors order'!$E$7)</f>
        <v/>
      </c>
      <c r="O19" t="str">
        <f>IF('Doors order'!$A$7="","",'Doors order'!$A$7)</f>
        <v/>
      </c>
      <c r="P19" s="64" t="str">
        <f>IF('Doors order'!$K$7="","",'Doors order'!$K$7)</f>
        <v/>
      </c>
      <c r="Q19" s="436"/>
    </row>
    <row r="20" spans="1:17" x14ac:dyDescent="0.25">
      <c r="A20">
        <v>19</v>
      </c>
      <c r="B20">
        <f>'Doors order'!$K$2</f>
        <v>0</v>
      </c>
      <c r="C20" s="62">
        <f>IF(H20="horizontal",'Doors order'!C28,'Doors order'!D28)</f>
        <v>0</v>
      </c>
      <c r="D20" s="62">
        <f>IF(H20="horizontal",'Doors order'!D28,'Doors order'!C28)</f>
        <v>0</v>
      </c>
      <c r="E20" s="62">
        <v>0.71</v>
      </c>
      <c r="F20">
        <f>'Doors order'!E28</f>
        <v>0</v>
      </c>
      <c r="G20">
        <f>'Doors order'!B28</f>
        <v>0</v>
      </c>
      <c r="H20">
        <f>'Doors order'!F28</f>
        <v>0</v>
      </c>
      <c r="I20" t="s">
        <v>114</v>
      </c>
      <c r="J20">
        <f>'Doors order'!G28</f>
        <v>0</v>
      </c>
      <c r="K20">
        <f>'Doors order'!H28</f>
        <v>0</v>
      </c>
      <c r="L20">
        <f>'Doors order'!I28</f>
        <v>0</v>
      </c>
      <c r="M20">
        <f>'Doors order'!J28</f>
        <v>0</v>
      </c>
      <c r="N20" s="63" t="str">
        <f>IF('Doors order'!$E$7="",IF('Doors order'!$G$7="","",'Doors order'!$G$7),'Doors order'!$E$7)</f>
        <v/>
      </c>
      <c r="O20" t="str">
        <f>IF('Doors order'!$A$7="","",'Doors order'!$A$7)</f>
        <v/>
      </c>
      <c r="P20" s="64" t="str">
        <f>IF('Doors order'!$K$7="","",'Doors order'!$K$7)</f>
        <v/>
      </c>
      <c r="Q20" s="436"/>
    </row>
    <row r="21" spans="1:17" x14ac:dyDescent="0.25">
      <c r="A21">
        <v>20</v>
      </c>
      <c r="B21">
        <f>'Doors order'!$K$2</f>
        <v>0</v>
      </c>
      <c r="C21" s="62">
        <f>IF(H21="horizontal",'Doors order'!C29,'Doors order'!D29)</f>
        <v>0</v>
      </c>
      <c r="D21" s="62">
        <f>IF(H21="horizontal",'Doors order'!D29,'Doors order'!C29)</f>
        <v>0</v>
      </c>
      <c r="E21" s="62">
        <v>0.71</v>
      </c>
      <c r="F21">
        <f>'Doors order'!E29</f>
        <v>0</v>
      </c>
      <c r="G21">
        <f>'Doors order'!B29</f>
        <v>0</v>
      </c>
      <c r="H21">
        <f>'Doors order'!F29</f>
        <v>0</v>
      </c>
      <c r="I21" t="s">
        <v>114</v>
      </c>
      <c r="J21">
        <f>'Doors order'!G29</f>
        <v>0</v>
      </c>
      <c r="K21">
        <f>'Doors order'!H29</f>
        <v>0</v>
      </c>
      <c r="L21">
        <f>'Doors order'!I29</f>
        <v>0</v>
      </c>
      <c r="M21">
        <f>'Doors order'!J29</f>
        <v>0</v>
      </c>
      <c r="N21" s="63" t="str">
        <f>IF('Doors order'!$E$7="",IF('Doors order'!$G$7="","",'Doors order'!$G$7),'Doors order'!$E$7)</f>
        <v/>
      </c>
      <c r="O21" t="str">
        <f>IF('Doors order'!$A$7="","",'Doors order'!$A$7)</f>
        <v/>
      </c>
      <c r="P21" s="64" t="str">
        <f>IF('Doors order'!$K$7="","",'Doors order'!$K$7)</f>
        <v/>
      </c>
      <c r="Q21" s="436"/>
    </row>
    <row r="22" spans="1:17" x14ac:dyDescent="0.25">
      <c r="A22">
        <v>21</v>
      </c>
      <c r="B22">
        <f>'Doors order'!$K$2</f>
        <v>0</v>
      </c>
      <c r="C22" s="62">
        <f>IF(H22="horizontal",'Doors order'!C30,'Doors order'!D30)</f>
        <v>0</v>
      </c>
      <c r="D22" s="62">
        <f>IF(H22="horizontal",'Doors order'!D30,'Doors order'!C30)</f>
        <v>0</v>
      </c>
      <c r="E22" s="62">
        <v>0.71</v>
      </c>
      <c r="F22">
        <f>'Doors order'!E30</f>
        <v>0</v>
      </c>
      <c r="G22">
        <f>'Doors order'!B30</f>
        <v>0</v>
      </c>
      <c r="H22">
        <f>'Doors order'!F30</f>
        <v>0</v>
      </c>
      <c r="I22" t="s">
        <v>114</v>
      </c>
      <c r="J22">
        <f>'Doors order'!G30</f>
        <v>0</v>
      </c>
      <c r="K22">
        <f>'Doors order'!H30</f>
        <v>0</v>
      </c>
      <c r="L22">
        <f>'Doors order'!I30</f>
        <v>0</v>
      </c>
      <c r="M22">
        <f>'Doors order'!J30</f>
        <v>0</v>
      </c>
      <c r="N22" s="63" t="str">
        <f>IF('Doors order'!$E$7="",IF('Doors order'!$G$7="","",'Doors order'!$G$7),'Doors order'!$E$7)</f>
        <v/>
      </c>
      <c r="O22" t="str">
        <f>IF('Doors order'!$A$7="","",'Doors order'!$A$7)</f>
        <v/>
      </c>
      <c r="P22" s="64" t="str">
        <f>IF('Doors order'!$K$7="","",'Doors order'!$K$7)</f>
        <v/>
      </c>
      <c r="Q22" s="436"/>
    </row>
    <row r="23" spans="1:17" x14ac:dyDescent="0.25">
      <c r="A23">
        <v>22</v>
      </c>
      <c r="B23">
        <f>'Doors order'!$K$2</f>
        <v>0</v>
      </c>
      <c r="C23" s="62">
        <f>IF(H23="horizontal",'Doors order'!C31,'Doors order'!D31)</f>
        <v>0</v>
      </c>
      <c r="D23" s="62">
        <f>IF(H23="horizontal",'Doors order'!D31,'Doors order'!C31)</f>
        <v>0</v>
      </c>
      <c r="E23" s="62">
        <v>0.71</v>
      </c>
      <c r="F23">
        <f>'Doors order'!E31</f>
        <v>0</v>
      </c>
      <c r="G23">
        <f>'Doors order'!B31</f>
        <v>0</v>
      </c>
      <c r="H23">
        <f>'Doors order'!F31</f>
        <v>0</v>
      </c>
      <c r="I23" t="s">
        <v>114</v>
      </c>
      <c r="J23">
        <f>'Doors order'!G31</f>
        <v>0</v>
      </c>
      <c r="K23">
        <f>'Doors order'!H31</f>
        <v>0</v>
      </c>
      <c r="L23">
        <f>'Doors order'!I31</f>
        <v>0</v>
      </c>
      <c r="M23">
        <f>'Doors order'!J31</f>
        <v>0</v>
      </c>
      <c r="N23" s="63" t="str">
        <f>IF('Doors order'!$E$7="",IF('Doors order'!$G$7="","",'Doors order'!$G$7),'Doors order'!$E$7)</f>
        <v/>
      </c>
      <c r="O23" t="str">
        <f>IF('Doors order'!$A$7="","",'Doors order'!$A$7)</f>
        <v/>
      </c>
      <c r="P23" s="64" t="str">
        <f>IF('Doors order'!$K$7="","",'Doors order'!$K$7)</f>
        <v/>
      </c>
      <c r="Q23" s="436"/>
    </row>
    <row r="24" spans="1:17" x14ac:dyDescent="0.25">
      <c r="A24">
        <v>23</v>
      </c>
      <c r="B24">
        <f>'Doors order'!$K$2</f>
        <v>0</v>
      </c>
      <c r="C24" s="62">
        <f>IF(H24="horizontal",'Doors order'!C32,'Doors order'!D32)</f>
        <v>0</v>
      </c>
      <c r="D24" s="62">
        <f>IF(H24="horizontal",'Doors order'!D32,'Doors order'!C32)</f>
        <v>0</v>
      </c>
      <c r="E24" s="62">
        <v>0.71</v>
      </c>
      <c r="F24">
        <f>'Doors order'!E32</f>
        <v>0</v>
      </c>
      <c r="G24">
        <f>'Doors order'!B32</f>
        <v>0</v>
      </c>
      <c r="H24">
        <f>'Doors order'!F32</f>
        <v>0</v>
      </c>
      <c r="I24" t="s">
        <v>114</v>
      </c>
      <c r="J24">
        <f>'Doors order'!G32</f>
        <v>0</v>
      </c>
      <c r="K24">
        <f>'Doors order'!H32</f>
        <v>0</v>
      </c>
      <c r="L24">
        <f>'Doors order'!I32</f>
        <v>0</v>
      </c>
      <c r="M24">
        <f>'Doors order'!J32</f>
        <v>0</v>
      </c>
      <c r="N24" s="63" t="str">
        <f>IF('Doors order'!$E$7="",IF('Doors order'!$G$7="","",'Doors order'!$G$7),'Doors order'!$E$7)</f>
        <v/>
      </c>
      <c r="O24" t="str">
        <f>IF('Doors order'!$A$7="","",'Doors order'!$A$7)</f>
        <v/>
      </c>
      <c r="P24" s="64" t="str">
        <f>IF('Doors order'!$K$7="","",'Doors order'!$K$7)</f>
        <v/>
      </c>
      <c r="Q24" s="436"/>
    </row>
    <row r="25" spans="1:17" x14ac:dyDescent="0.25">
      <c r="A25">
        <v>24</v>
      </c>
      <c r="B25">
        <f>'Doors order'!$K$2</f>
        <v>0</v>
      </c>
      <c r="C25" s="62">
        <f>IF(H25="horizontal",'Doors order'!C33,'Doors order'!D33)</f>
        <v>0</v>
      </c>
      <c r="D25" s="62">
        <f>IF(H25="horizontal",'Doors order'!D33,'Doors order'!C33)</f>
        <v>0</v>
      </c>
      <c r="E25" s="62">
        <v>0.71</v>
      </c>
      <c r="F25">
        <f>'Doors order'!E33</f>
        <v>0</v>
      </c>
      <c r="G25">
        <f>'Doors order'!B33</f>
        <v>0</v>
      </c>
      <c r="H25">
        <f>'Doors order'!F33</f>
        <v>0</v>
      </c>
      <c r="I25" t="s">
        <v>114</v>
      </c>
      <c r="J25">
        <f>'Doors order'!G33</f>
        <v>0</v>
      </c>
      <c r="K25">
        <f>'Doors order'!H33</f>
        <v>0</v>
      </c>
      <c r="L25">
        <f>'Doors order'!I33</f>
        <v>0</v>
      </c>
      <c r="M25">
        <f>'Doors order'!J33</f>
        <v>0</v>
      </c>
      <c r="N25" s="63" t="str">
        <f>IF('Doors order'!$E$7="",IF('Doors order'!$G$7="","",'Doors order'!$G$7),'Doors order'!$E$7)</f>
        <v/>
      </c>
      <c r="O25" t="str">
        <f>IF('Doors order'!$A$7="","",'Doors order'!$A$7)</f>
        <v/>
      </c>
      <c r="P25" s="64" t="str">
        <f>IF('Doors order'!$K$7="","",'Doors order'!$K$7)</f>
        <v/>
      </c>
      <c r="Q25" s="436"/>
    </row>
    <row r="26" spans="1:17" x14ac:dyDescent="0.25">
      <c r="A26">
        <v>25</v>
      </c>
      <c r="B26">
        <f>'Doors order'!$K$2</f>
        <v>0</v>
      </c>
      <c r="C26" s="62">
        <f>IF(H26="horizontal",'Doors order'!C34,'Doors order'!D34)</f>
        <v>0</v>
      </c>
      <c r="D26" s="62">
        <f>IF(H26="horizontal",'Doors order'!D34,'Doors order'!C34)</f>
        <v>0</v>
      </c>
      <c r="E26" s="62">
        <v>0.71</v>
      </c>
      <c r="F26">
        <f>'Doors order'!E34</f>
        <v>0</v>
      </c>
      <c r="G26">
        <f>'Doors order'!B34</f>
        <v>0</v>
      </c>
      <c r="H26">
        <f>'Doors order'!F34</f>
        <v>0</v>
      </c>
      <c r="I26" t="s">
        <v>114</v>
      </c>
      <c r="J26">
        <f>'Doors order'!G34</f>
        <v>0</v>
      </c>
      <c r="K26">
        <f>'Doors order'!H34</f>
        <v>0</v>
      </c>
      <c r="L26">
        <f>'Doors order'!I34</f>
        <v>0</v>
      </c>
      <c r="M26">
        <f>'Doors order'!J34</f>
        <v>0</v>
      </c>
      <c r="N26" s="63" t="str">
        <f>IF('Doors order'!$E$7="",IF('Doors order'!$G$7="","",'Doors order'!$G$7),'Doors order'!$E$7)</f>
        <v/>
      </c>
      <c r="O26" t="str">
        <f>IF('Doors order'!$A$7="","",'Doors order'!$A$7)</f>
        <v/>
      </c>
      <c r="P26" s="64" t="str">
        <f>IF('Doors order'!$K$7="","",'Doors order'!$K$7)</f>
        <v/>
      </c>
      <c r="Q26" s="436"/>
    </row>
    <row r="27" spans="1:17" x14ac:dyDescent="0.25">
      <c r="A27">
        <v>26</v>
      </c>
      <c r="B27">
        <f>'Doors order'!$K$2</f>
        <v>0</v>
      </c>
      <c r="C27" s="62">
        <f>IF(H27="horizontal",'Doors order'!C35,'Doors order'!D35)</f>
        <v>0</v>
      </c>
      <c r="D27" s="62">
        <f>IF(H27="horizontal",'Doors order'!D35,'Doors order'!C35)</f>
        <v>0</v>
      </c>
      <c r="E27" s="62">
        <v>0.71</v>
      </c>
      <c r="F27">
        <f>'Doors order'!E35</f>
        <v>0</v>
      </c>
      <c r="G27">
        <f>'Doors order'!B35</f>
        <v>0</v>
      </c>
      <c r="H27">
        <f>'Doors order'!F35</f>
        <v>0</v>
      </c>
      <c r="I27" t="s">
        <v>114</v>
      </c>
      <c r="J27">
        <f>'Doors order'!G35</f>
        <v>0</v>
      </c>
      <c r="K27">
        <f>'Doors order'!H35</f>
        <v>0</v>
      </c>
      <c r="L27">
        <f>'Doors order'!I35</f>
        <v>0</v>
      </c>
      <c r="M27">
        <f>'Doors order'!J35</f>
        <v>0</v>
      </c>
      <c r="N27" s="63" t="str">
        <f>IF('Doors order'!$E$7="",IF('Doors order'!$G$7="","",'Doors order'!$G$7),'Doors order'!$E$7)</f>
        <v/>
      </c>
      <c r="O27" t="str">
        <f>IF('Doors order'!$A$7="","",'Doors order'!$A$7)</f>
        <v/>
      </c>
      <c r="P27" s="64" t="str">
        <f>IF('Doors order'!$K$7="","",'Doors order'!$K$7)</f>
        <v/>
      </c>
      <c r="Q27" s="436"/>
    </row>
    <row r="28" spans="1:17" x14ac:dyDescent="0.25">
      <c r="A28">
        <v>27</v>
      </c>
      <c r="B28">
        <f>'Doors order'!$K$2</f>
        <v>0</v>
      </c>
      <c r="C28" s="62">
        <f>IF(H28="horizontal",'Doors order'!C36,'Doors order'!D36)</f>
        <v>0</v>
      </c>
      <c r="D28" s="62">
        <f>IF(H28="horizontal",'Doors order'!D36,'Doors order'!C36)</f>
        <v>0</v>
      </c>
      <c r="E28" s="62">
        <v>0.71</v>
      </c>
      <c r="F28">
        <f>'Doors order'!E36</f>
        <v>0</v>
      </c>
      <c r="G28">
        <f>'Doors order'!B36</f>
        <v>0</v>
      </c>
      <c r="H28">
        <f>'Doors order'!F36</f>
        <v>0</v>
      </c>
      <c r="I28" t="s">
        <v>114</v>
      </c>
      <c r="J28">
        <f>'Doors order'!G36</f>
        <v>0</v>
      </c>
      <c r="K28">
        <f>'Doors order'!H36</f>
        <v>0</v>
      </c>
      <c r="L28">
        <f>'Doors order'!I36</f>
        <v>0</v>
      </c>
      <c r="M28">
        <f>'Doors order'!J36</f>
        <v>0</v>
      </c>
      <c r="N28" s="63" t="str">
        <f>IF('Doors order'!$E$7="",IF('Doors order'!$G$7="","",'Doors order'!$G$7),'Doors order'!$E$7)</f>
        <v/>
      </c>
      <c r="O28" t="str">
        <f>IF('Doors order'!$A$7="","",'Doors order'!$A$7)</f>
        <v/>
      </c>
      <c r="P28" s="64" t="str">
        <f>IF('Doors order'!$K$7="","",'Doors order'!$K$7)</f>
        <v/>
      </c>
      <c r="Q28" s="436"/>
    </row>
    <row r="29" spans="1:17" x14ac:dyDescent="0.25">
      <c r="A29">
        <v>28</v>
      </c>
      <c r="B29">
        <f>'Doors order'!$K$2</f>
        <v>0</v>
      </c>
      <c r="C29" s="62">
        <f>IF(H29="horizontal",'Doors order'!C37,'Doors order'!D37)</f>
        <v>0</v>
      </c>
      <c r="D29" s="62">
        <f>IF(H29="horizontal",'Doors order'!D37,'Doors order'!C37)</f>
        <v>0</v>
      </c>
      <c r="E29" s="62">
        <v>0.71</v>
      </c>
      <c r="F29">
        <f>'Doors order'!E37</f>
        <v>0</v>
      </c>
      <c r="G29">
        <f>'Doors order'!B37</f>
        <v>0</v>
      </c>
      <c r="H29">
        <f>'Doors order'!F37</f>
        <v>0</v>
      </c>
      <c r="I29" t="s">
        <v>114</v>
      </c>
      <c r="J29">
        <f>'Doors order'!G37</f>
        <v>0</v>
      </c>
      <c r="K29">
        <f>'Doors order'!H37</f>
        <v>0</v>
      </c>
      <c r="L29">
        <f>'Doors order'!I37</f>
        <v>0</v>
      </c>
      <c r="M29">
        <f>'Doors order'!J37</f>
        <v>0</v>
      </c>
      <c r="N29" s="63" t="str">
        <f>IF('Doors order'!$E$7="",IF('Doors order'!$G$7="","",'Doors order'!$G$7),'Doors order'!$E$7)</f>
        <v/>
      </c>
      <c r="O29" t="str">
        <f>IF('Doors order'!$A$7="","",'Doors order'!$A$7)</f>
        <v/>
      </c>
      <c r="P29" s="64" t="str">
        <f>IF('Doors order'!$K$7="","",'Doors order'!$K$7)</f>
        <v/>
      </c>
      <c r="Q29" s="436"/>
    </row>
    <row r="30" spans="1:17" x14ac:dyDescent="0.25">
      <c r="A30">
        <v>29</v>
      </c>
      <c r="B30">
        <f>'Doors order'!$K$2</f>
        <v>0</v>
      </c>
      <c r="C30" s="62">
        <f>IF(H30="horizontal",'Doors order'!C38,'Doors order'!D38)</f>
        <v>0</v>
      </c>
      <c r="D30" s="62">
        <f>IF(H30="horizontal",'Doors order'!D38,'Doors order'!C38)</f>
        <v>0</v>
      </c>
      <c r="E30" s="62">
        <v>0.71</v>
      </c>
      <c r="F30">
        <f>'Doors order'!E38</f>
        <v>0</v>
      </c>
      <c r="G30">
        <f>'Doors order'!B38</f>
        <v>0</v>
      </c>
      <c r="H30">
        <f>'Doors order'!F38</f>
        <v>0</v>
      </c>
      <c r="I30" t="s">
        <v>114</v>
      </c>
      <c r="J30">
        <f>'Doors order'!G38</f>
        <v>0</v>
      </c>
      <c r="K30">
        <f>'Doors order'!H38</f>
        <v>0</v>
      </c>
      <c r="L30">
        <f>'Doors order'!I38</f>
        <v>0</v>
      </c>
      <c r="M30">
        <f>'Doors order'!J38</f>
        <v>0</v>
      </c>
      <c r="N30" s="63" t="str">
        <f>IF('Doors order'!$E$7="",IF('Doors order'!$G$7="","",'Doors order'!$G$7),'Doors order'!$E$7)</f>
        <v/>
      </c>
      <c r="O30" t="str">
        <f>IF('Doors order'!$A$7="","",'Doors order'!$A$7)</f>
        <v/>
      </c>
      <c r="P30" s="64" t="str">
        <f>IF('Doors order'!$K$7="","",'Doors order'!$K$7)</f>
        <v/>
      </c>
      <c r="Q30" s="436"/>
    </row>
    <row r="31" spans="1:17" x14ac:dyDescent="0.25">
      <c r="A31">
        <v>30</v>
      </c>
      <c r="B31">
        <f>'Doors order'!$K$2</f>
        <v>0</v>
      </c>
      <c r="C31" s="62">
        <f>IF(H31="horizontal",'Doors order'!C39,'Doors order'!D39)</f>
        <v>0</v>
      </c>
      <c r="D31" s="62">
        <f>IF(H31="horizontal",'Doors order'!D39,'Doors order'!C39)</f>
        <v>0</v>
      </c>
      <c r="E31" s="62">
        <v>0.71</v>
      </c>
      <c r="F31">
        <f>'Doors order'!E39</f>
        <v>0</v>
      </c>
      <c r="G31">
        <f>'Doors order'!B39</f>
        <v>0</v>
      </c>
      <c r="H31">
        <f>'Doors order'!F39</f>
        <v>0</v>
      </c>
      <c r="I31" t="s">
        <v>114</v>
      </c>
      <c r="J31">
        <f>'Doors order'!G39</f>
        <v>0</v>
      </c>
      <c r="K31">
        <f>'Doors order'!H39</f>
        <v>0</v>
      </c>
      <c r="L31">
        <f>'Doors order'!I39</f>
        <v>0</v>
      </c>
      <c r="M31">
        <f>'Doors order'!J39</f>
        <v>0</v>
      </c>
      <c r="N31" s="63" t="str">
        <f>IF('Doors order'!$E$7="",IF('Doors order'!$G$7="","",'Doors order'!$G$7),'Doors order'!$E$7)</f>
        <v/>
      </c>
      <c r="O31" t="str">
        <f>IF('Doors order'!$A$7="","",'Doors order'!$A$7)</f>
        <v/>
      </c>
      <c r="P31" s="64" t="str">
        <f>IF('Doors order'!$K$7="","",'Doors order'!$K$7)</f>
        <v/>
      </c>
      <c r="Q31" s="436"/>
    </row>
  </sheetData>
  <sheetProtection password="CC4C" sheet="1" objects="1" scenarios="1"/>
  <pageMargins left="0.75" right="0.75" top="1" bottom="1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J I P 9 U B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A k g /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I P 9 U C i K R 7 g O A A A A E Q A A A B M A H A B G b 3 J t d W x h c y 9 T Z W N 0 a W 9 u M S 5 t I K I Y A C i g F A A A A A A A A A A A A A A A A A A A A A A A A A A A A C t O T S 7 J z M 9 T C I b Q h t Y A U E s B A i 0 A F A A C A A g A J I P 9 U B Z U 0 P + m A A A A + A A A A B I A A A A A A A A A A A A A A A A A A A A A A E N v b m Z p Z y 9 Q Y W N r Y W d l L n h t b F B L A Q I t A B Q A A g A I A C S D / V A P y u m r p A A A A O k A A A A T A A A A A A A A A A A A A A A A A P I A A A B b Q 2 9 u d G V u d F 9 U e X B l c 1 0 u e G 1 s U E s B A i 0 A F A A C A A g A J I P 9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A u + t K u n R 2 N B u n G l c 0 Y 5 W t A A A A A A A g A A A A A A E G Y A A A A B A A A g A A A A 3 V q 5 X X z u 2 o k 7 U z H K k 8 W V F 7 Z 4 w H B 9 c 3 8 K 6 h I F v b t K F w Q A A A A A D o A A A A A C A A A g A A A A L e 9 x y T + j N i N 6 X S I H + m c R o f m n k m F O i E N C V S 4 z G l 7 4 N x t Q A A A A u V R e W U o C E F D 8 b k W E S K 6 + d m t o K z R T c x z G 6 B w Q 4 1 Z 6 T 2 K G G D o R U x X f w W O z L u K o 9 E D P 9 x 7 2 0 q F s 8 Q z R 7 A C v d L k K E / a 8 I t A X g z D Y I o j l 0 h M / U E 9 A A A A A L c F W Y L Y y x t C + t c i I s y 1 h E 7 o f D T c X V t e G S Y + a F 7 u + c f 9 Z z x n G M L H J 0 f F o m a F y + 6 G V x / B g K g 4 Y v 3 l f M + D 2 + V e F a Q = = < / D a t a M a s h u p > 
</file>

<file path=customXml/itemProps1.xml><?xml version="1.0" encoding="utf-8"?>
<ds:datastoreItem xmlns:ds="http://schemas.openxmlformats.org/officeDocument/2006/customXml" ds:itemID="{40358F6B-90D8-4F29-A686-5D0A9BCC7C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Doors order</vt:lpstr>
      <vt:lpstr>Cava Doors order</vt:lpstr>
      <vt:lpstr>Panel order</vt:lpstr>
      <vt:lpstr>Edge order</vt:lpstr>
      <vt:lpstr>Production</vt:lpstr>
      <vt:lpstr>BDD</vt:lpstr>
      <vt:lpstr>MainOther</vt:lpstr>
      <vt:lpstr>OPTIMOS CAVA CENTER PANEL</vt:lpstr>
      <vt:lpstr>Optimization</vt:lpstr>
      <vt:lpstr>BDD!Print_Area</vt:lpstr>
      <vt:lpstr>'Cava Doors order'!Print_Area</vt:lpstr>
      <vt:lpstr>'Doors order'!Print_Area</vt:lpstr>
      <vt:lpstr>'Edge order'!Print_Area</vt:lpstr>
      <vt:lpstr>'OPTIMOS CAVA CENTER PANEL'!Print_Area</vt:lpstr>
      <vt:lpstr>'Panel order'!Print_Area</vt:lpstr>
      <vt:lpstr>Production!Print_Area</vt:lpstr>
      <vt:lpstr>'Cava Doors order'!Print_Titles</vt:lpstr>
      <vt:lpstr>'Doors order'!Print_Titles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Gonzalez Lio</dc:creator>
  <cp:lastModifiedBy>dnegr</cp:lastModifiedBy>
  <cp:lastPrinted>2021-07-15T13:33:19Z</cp:lastPrinted>
  <dcterms:created xsi:type="dcterms:W3CDTF">2014-09-04T12:15:48Z</dcterms:created>
  <dcterms:modified xsi:type="dcterms:W3CDTF">2021-07-15T14:15:33Z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